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60" yWindow="390" windowWidth="21840" windowHeight="9690" activeTab="2"/>
  </bookViews>
  <sheets>
    <sheet name="Tabla" sheetId="1" r:id="rId1"/>
    <sheet name="PAGHIP PAGO FIJO" sheetId="2" state="hidden" r:id="rId2"/>
    <sheet name="Simulador" sheetId="3" r:id="rId3"/>
  </sheets>
  <externalReferences>
    <externalReference r:id="rId6"/>
    <externalReference r:id="rId7"/>
    <externalReference r:id="rId8"/>
    <externalReference r:id="rId9"/>
    <externalReference r:id="rId10"/>
  </externalReferences>
  <definedNames>
    <definedName name="__feb05">'[1]datos'!$B$49</definedName>
    <definedName name="_feb05">'[1]datos'!$B$49</definedName>
    <definedName name="_xlfn.IFERROR" hidden="1">#NAME?</definedName>
    <definedName name="ABRIL">'[2]04_RORA_MTH_PFS'!$A$7:$AZ$72</definedName>
    <definedName name="change">'Tabla'!$C$5</definedName>
    <definedName name="days">'[3]T'!$B$21</definedName>
    <definedName name="enero_2005" localSheetId="1">'[1]datos'!#REF!</definedName>
    <definedName name="enero_2005">'[1]datos'!#REF!</definedName>
    <definedName name="jul">'[3]T'!$C$14</definedName>
    <definedName name="julytd">'[3]T'!$B$14</definedName>
    <definedName name="jun">'[3]T'!$C$13</definedName>
    <definedName name="junytd">'[3]T'!$B$13</definedName>
    <definedName name="mar">'[3]T'!$C$10</definedName>
    <definedName name="Mth_en">'[4]Definiciones'!$D$3</definedName>
    <definedName name="_xlnm.Print_Area" localSheetId="1">'PAGHIP PAGO FIJO'!$A$1:$N$296</definedName>
    <definedName name="_xlnm.Print_Area" localSheetId="0">'Tabla'!#REF!</definedName>
    <definedName name="_xlnm.Print_Titles" localSheetId="1">'PAGHIP PAGO FIJO'!$54:$55</definedName>
    <definedName name="q">'[5]Definiciones'!$C$5</definedName>
    <definedName name="rango1">'Tabla'!$C$24:$D$49</definedName>
    <definedName name="rango2">'Tabla'!$C$55:$D$80</definedName>
  </definedNames>
  <calcPr fullCalcOnLoad="1"/>
</workbook>
</file>

<file path=xl/sharedStrings.xml><?xml version="1.0" encoding="utf-8"?>
<sst xmlns="http://schemas.openxmlformats.org/spreadsheetml/2006/main" count="209" uniqueCount="173">
  <si>
    <t>Usted ha venido realizando un  pago mensual aproximado (sin incluir seguros) de:</t>
  </si>
  <si>
    <t>HSBC</t>
  </si>
  <si>
    <t>% Financiamiento estimado</t>
  </si>
  <si>
    <t>meses</t>
  </si>
  <si>
    <t>años</t>
  </si>
  <si>
    <t xml:space="preserve">Gastos </t>
  </si>
  <si>
    <t>Comisión de opening</t>
  </si>
  <si>
    <t>Notariales</t>
  </si>
  <si>
    <t>Plazo Restante</t>
  </si>
  <si>
    <t>Plazo 10 años</t>
  </si>
  <si>
    <t>Plazo 15 años</t>
  </si>
  <si>
    <t>Plazo 20 años</t>
  </si>
  <si>
    <t>Recuerde  que al transferir su crédito Hipotecario con nosotros deberá cubrir los gastos iniciales que son aproximadamente de:</t>
  </si>
  <si>
    <t>Gastos y honorarios notariales:</t>
  </si>
  <si>
    <t>Comisión por apertura:</t>
  </si>
  <si>
    <t>Gastos de Investigación:</t>
  </si>
  <si>
    <t>Comparativo HSBC</t>
  </si>
  <si>
    <t>Hasta el 1% del monto financiado</t>
  </si>
  <si>
    <t>Ingresa el Valor del Inmueble</t>
  </si>
  <si>
    <t>De</t>
  </si>
  <si>
    <t>Hasta</t>
  </si>
  <si>
    <t>Rango</t>
  </si>
  <si>
    <t>Costo</t>
  </si>
  <si>
    <t>Crédito Hipotecario</t>
  </si>
  <si>
    <t>Y el número de mensualidades que le restan por pagar es de:</t>
  </si>
  <si>
    <t>Si usted decide transferir su hipoteca con nosotros, HSBC le ofrece los siguientes beneficios:</t>
  </si>
  <si>
    <t>Años</t>
  </si>
  <si>
    <t>Meses</t>
  </si>
  <si>
    <t>Monto del crédito con HSBC:</t>
  </si>
  <si>
    <t>¿Cuál es el  saldo actual de su crédito hipotecario con el otro banco?</t>
  </si>
  <si>
    <t>¿Cuál es la tasa de interés de su crédito hipotecario con el otro banco?</t>
  </si>
  <si>
    <t>¿Cuál es el plazo que le dieron para pagar su crédito con el otro banco (en años)?</t>
  </si>
  <si>
    <t>¿En qué año firmó su crédito con el otro banco?</t>
  </si>
  <si>
    <t>¿Sabe cuál es el valor aproximado de su casa al día de hoy?</t>
  </si>
  <si>
    <t>Gastos iniciales:</t>
  </si>
  <si>
    <t>Otro Banco o Institución Financiera</t>
  </si>
  <si>
    <t>Nuestros clientes pueden llevar a cabo pre pagos sin comisiones y terminar más pronto su crédito.</t>
  </si>
  <si>
    <r>
      <t>Con los datos que me indica el número de mensualidades  que lleva pagadas es de:</t>
    </r>
    <r>
      <rPr>
        <i/>
        <sz val="8"/>
        <color indexed="8"/>
        <rFont val="Calibri"/>
        <family val="2"/>
      </rPr>
      <t xml:space="preserve"> (Considerando la firma del crédito en enero de cada año)</t>
    </r>
  </si>
  <si>
    <t>¿Cuál es el monto original de su crédito hipotecario con el otro banco?</t>
  </si>
  <si>
    <t xml:space="preserve">Las políticas y la información del producto contenida en este simulador están sujetas a cambio sin previo aviso.                                                                                                                                 </t>
  </si>
  <si>
    <t>NOTAS IMPORTANTES:</t>
  </si>
  <si>
    <t>Favor de llenar  los campos en azul:</t>
  </si>
  <si>
    <t>LEGALES:</t>
  </si>
  <si>
    <t>Fecha:</t>
  </si>
  <si>
    <t>Inmueble:</t>
  </si>
  <si>
    <t>Mensualidad:</t>
  </si>
  <si>
    <t>Valor del inmueble:</t>
  </si>
  <si>
    <t>Seguro de Vida:</t>
  </si>
  <si>
    <t>Seguro de Daños:</t>
  </si>
  <si>
    <t>Parámetros de Financiamiento:</t>
  </si>
  <si>
    <t>% Financiamiento para TASA</t>
  </si>
  <si>
    <t>Comision por Administración:</t>
  </si>
  <si>
    <t>% de Financiamiento Máximo:</t>
  </si>
  <si>
    <t>TOTAL PAGO MENSUAL:</t>
  </si>
  <si>
    <t>Tasa de Interés</t>
  </si>
  <si>
    <t>Plazo en meses:</t>
  </si>
  <si>
    <t>Ingreso:</t>
  </si>
  <si>
    <t>Ingreso Mínimo:</t>
  </si>
  <si>
    <t>Credito HSBC:</t>
  </si>
  <si>
    <t>ejemplo</t>
  </si>
  <si>
    <t>Saldo Anterior o Monto del Crédito:</t>
  </si>
  <si>
    <t>Enganche Adicional + Requerido:</t>
  </si>
  <si>
    <t>Enganche mínimo requerido:</t>
  </si>
  <si>
    <t>Avalúo:</t>
  </si>
  <si>
    <t>Crédito HSBC:</t>
  </si>
  <si>
    <t>Comisión por Apertura:</t>
  </si>
  <si>
    <t>Validacion 1 LTV máximo de HSBC por valor de vivienda</t>
  </si>
  <si>
    <t>Opciones de financiamiento gastos y comisión:</t>
  </si>
  <si>
    <t>Comision no financiada</t>
  </si>
  <si>
    <t>Validacion 2  hsbc + infonavit no mas del 95%</t>
  </si>
  <si>
    <t>Quiere Financiamiento de Gastos Notariales:</t>
  </si>
  <si>
    <t>validacion 3 hsbc + infona</t>
  </si>
  <si>
    <t>Gastos:</t>
  </si>
  <si>
    <t>Gastos y honorarios notariales no financiados:</t>
  </si>
  <si>
    <t>mas el enganche</t>
  </si>
  <si>
    <t>Capture las celdas en gris y combos:</t>
  </si>
  <si>
    <t>%Financiable:</t>
  </si>
  <si>
    <t>TOTAL GASTOS INICIALES:</t>
  </si>
  <si>
    <t>si</t>
  </si>
  <si>
    <t>topes</t>
  </si>
  <si>
    <t>Datos del Crédito:</t>
  </si>
  <si>
    <t>AQUÍ DEBEN VENIR LOS 2 VALORES POR AMBAS OPCIONES QUE ELIJA</t>
  </si>
  <si>
    <t>Monto Financiable:</t>
  </si>
  <si>
    <t>no</t>
  </si>
  <si>
    <t>Payment per thousand</t>
  </si>
  <si>
    <t>Quiere Financiamiento de Comisión por apertura:</t>
  </si>
  <si>
    <t>Comisión:</t>
  </si>
  <si>
    <t>Meses:</t>
  </si>
  <si>
    <t>All-in Payment 1000</t>
  </si>
  <si>
    <t>Up-front</t>
  </si>
  <si>
    <t>Reduce:</t>
  </si>
  <si>
    <t>50% financed</t>
  </si>
  <si>
    <t>o el LTV</t>
  </si>
  <si>
    <t>100% financed</t>
  </si>
  <si>
    <t>CAT:</t>
  </si>
  <si>
    <t>100% dl adeudo</t>
  </si>
  <si>
    <t>Insurance</t>
  </si>
  <si>
    <t>Enganche adicional del cliente:</t>
  </si>
  <si>
    <t>financiable sin gastos</t>
  </si>
  <si>
    <t>Life Insurance (per thousand * loan amount)</t>
  </si>
  <si>
    <t>financiable + gastos</t>
  </si>
  <si>
    <t>Home Insurance (per thousand * house value)</t>
  </si>
  <si>
    <t>financiable con gastos</t>
  </si>
  <si>
    <t>Payroll</t>
  </si>
  <si>
    <t>Construction only value (estimate / assumption)</t>
  </si>
  <si>
    <t>solo podemos financiar de gastos</t>
  </si>
  <si>
    <t>Self-Employed</t>
  </si>
  <si>
    <t>financiable con gastos ok</t>
  </si>
  <si>
    <t>financiable con gastos y comisión</t>
  </si>
  <si>
    <t>Mensualidad</t>
  </si>
  <si>
    <t>solo podemos financiar de comisión</t>
  </si>
  <si>
    <t>Plazo</t>
  </si>
  <si>
    <t>financiable con gastos y comi ok</t>
  </si>
  <si>
    <t>garantia</t>
  </si>
  <si>
    <t>CAT</t>
  </si>
  <si>
    <t>Tabla de Amortización</t>
  </si>
  <si>
    <t>Tasa</t>
  </si>
  <si>
    <t>Mes</t>
  </si>
  <si>
    <t>Saldo Inicial</t>
  </si>
  <si>
    <t>Capital</t>
  </si>
  <si>
    <t>Intereses</t>
  </si>
  <si>
    <t>Pago al Crédito</t>
  </si>
  <si>
    <t>Seguro de Vida</t>
  </si>
  <si>
    <t>Seguro de Daños</t>
  </si>
  <si>
    <t>Comisión por Administración</t>
  </si>
  <si>
    <t>Mensualidad Total</t>
  </si>
  <si>
    <t>Prepago</t>
  </si>
  <si>
    <t>Saldo al final del periodo</t>
  </si>
  <si>
    <t>Seguros</t>
  </si>
  <si>
    <t>Appraisal (per thousand * house value)</t>
  </si>
  <si>
    <t>VIVIENDA</t>
  </si>
  <si>
    <t>Application fee</t>
  </si>
  <si>
    <t>CREDITO</t>
  </si>
  <si>
    <t>Booking fee</t>
  </si>
  <si>
    <t>INGRESO</t>
  </si>
  <si>
    <t>OBLIGACIONES</t>
  </si>
  <si>
    <t>Servicing fee</t>
  </si>
  <si>
    <t>CAPACIDAD</t>
  </si>
  <si>
    <t>Comparativo Pago de Hipoteca HSBC</t>
  </si>
  <si>
    <t>*La tasa de HSBC es fija y anual</t>
  </si>
  <si>
    <t>Con HSBC usted incrementaría su flujo mensual en:</t>
  </si>
  <si>
    <t>Al final del plazo del crédito si usted decide contratar con HSBC, ahorraría:</t>
  </si>
  <si>
    <t>Adicional si decide seleccionar un plazo menor con HSBC (10,15 ó 20 años) terminaría de pagar antes:</t>
  </si>
  <si>
    <t>Gasto único durante la vida del crédito</t>
  </si>
  <si>
    <t xml:space="preserve">La comisión por apertura y gastos notariales pueden ser financiados hasta el 100%, dentro del porcentaje de financiamiento máximo que es de 85%, siempre y cuando el cliente cuente con la capacidad de pago de acuerdo a la evaluación de crédito de HSBC.                                                                            </t>
  </si>
  <si>
    <t>Una disminución de su tasa de interés a * :</t>
  </si>
  <si>
    <t>**Mensualidad estimada para el esquema de Pago Fijo</t>
  </si>
  <si>
    <t>Su mensualidad (sin seguros) con HSBC sería**:</t>
  </si>
  <si>
    <t>Sin  embargo este gasto lo compensará con su ahorro:</t>
  </si>
  <si>
    <t>Meses en los que compensará usted con su ahorro el desembolso de los gastos iniciales</t>
  </si>
  <si>
    <t>El desembolso que realizará el cliente por concepto de los gastos notariales lo estará compensando con el ahorro mensual que le da tener un beneficio en tasa.</t>
  </si>
  <si>
    <t>Sabía que al cambiar su hipoteca con mejores condiciones en HSBC  estará incrementando su flujo mensual.</t>
  </si>
  <si>
    <r>
      <t xml:space="preserve">Cobertura Nacional. Crédito en Moneda Nacional. </t>
    </r>
    <r>
      <rPr>
        <sz val="11"/>
        <color theme="1"/>
        <rFont val="Calibri"/>
        <family val="2"/>
      </rPr>
      <t xml:space="preserve"> Aplican condiciones. Sujeto a aprobación de crédito. Requisitos de contratación y comisiones en www.hsbc.com.mx.</t>
    </r>
  </si>
  <si>
    <t>La aprobación de su crédito y condiciones del mismo dependen del resultado de la evaluación que realice el banco.</t>
  </si>
  <si>
    <t>Es tu derecho solicitar la oferta vinculante para comparar distintas opciones de crédito</t>
  </si>
  <si>
    <t>ADQUI PAGO BAJO</t>
  </si>
  <si>
    <t>Pago Bajo</t>
  </si>
  <si>
    <t>Adquisición/Adquisición de vivienda//Normal/Distrito Federal/Monto del Crédito</t>
  </si>
  <si>
    <t/>
  </si>
  <si>
    <t>Vivienda Rango 1</t>
  </si>
  <si>
    <t>Vivienda Rango 2</t>
  </si>
  <si>
    <t>LTV Máx</t>
  </si>
  <si>
    <t>AdquisiciónPersona Fisica con Actividad EmpresarialAdquisición de viviendaNormalPago Bajo</t>
  </si>
  <si>
    <t>INSTRUCCIONES: Si desea simular cualquier otro plazo seleccione en el combo</t>
  </si>
  <si>
    <t>CAT*:</t>
  </si>
  <si>
    <t>*CAT sin IVA. Informativo. Tasa de interés fija (sin IVA). Calculado para un Crédito Hipotecario Pago Fijo  (inmueble en zona de bajo riesgo) con la comisión por apertura de contado. Cobertura Nacional. Crédito en Moneda Nacional. Información sujeta a cambios sin previo aviso. Aplican condiciones. Sujeto a aprobación de crédito. Requisitos de contratación y comisiones en www.hsbc.com.mx 
Es un derecho innegable del cliente el poder contratar estos servicios o productos a través de HSBC o con un tercero independiente.</t>
  </si>
  <si>
    <t>La informacion aquí mostrada es para fines informativos y de comparación, exclusivamente, por lo que no constituye la asunción de obligación alguna por parte de HSBC o de las Aseguradoras que se indican.</t>
  </si>
  <si>
    <t xml:space="preserve">El Seguro de Vida, es registrado y operado por HSBC Seguros S.A. de CV., Grupo Financiero HSBC.  El Seguro de Daños, es registrado y operado por AXA Seguros S.A. de C.V, 
Consulta condiciones generales de los seguros en:  www.hsbc.com.mx
Es un derecho innegable del cliente el poder contratar estos servicios o productos a través de HSBC o con un tercero independiente.
</t>
  </si>
  <si>
    <t>Comparativo Pago de Hipoteca Premier</t>
  </si>
  <si>
    <t>Del 2% al 4% sobre el monto del crédito aproximadamente (varía por Estado). La estimación está realizada con  4% sobre el monto financiado</t>
  </si>
  <si>
    <t>Dependerá del valor del inmueble y se reembolsará  posterior a la firma del crédito</t>
  </si>
  <si>
    <t>Total</t>
  </si>
  <si>
    <t>V. P-May17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</si>
</sst>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
    <numFmt numFmtId="167" formatCode="_-* #,##0_-;\-* #,##0_-;_-* &quot;-&quot;??_-;_-@_-"/>
    <numFmt numFmtId="168" formatCode="_(&quot;$&quot;* #,##0.00_);_(&quot;$&quot;* \(#,##0.00\);_(&quot;$&quot;* &quot;-&quot;??_);_(@_)"/>
    <numFmt numFmtId="169" formatCode="&quot;$&quot;#,##0.00"/>
    <numFmt numFmtId="170" formatCode="_-[$€-2]* #,##0.00_-;\-[$€-2]* #,##0.00_-;_-[$€-2]* &quot;-&quot;??_-"/>
    <numFmt numFmtId="171" formatCode="_(&quot;$&quot;* #,##0_);_(&quot;$&quot;* \(#,##0\);_(&quot;$&quot;* &quot;-&quot;??_);_(@_)"/>
    <numFmt numFmtId="172" formatCode="_-&quot;$&quot;* #,##0_-;\-&quot;$&quot;* #,##0_-;_-&quot;$&quot;* &quot;-&quot;??_-;_-@_-"/>
    <numFmt numFmtId="173" formatCode="_-* #,##0_-;\-* #,##0_-;_-* &quot;-&quot;?_-;_-@_-"/>
    <numFmt numFmtId="174" formatCode="0.000"/>
    <numFmt numFmtId="175" formatCode="_-* #,##0.0_-;\-* #,##0.0_-;_-* &quot;-&quot;??_-;_-@_-"/>
    <numFmt numFmtId="176" formatCode="#,##0.00;[Red]\(#,##0.00\)"/>
    <numFmt numFmtId="177" formatCode="_-\$* #,##0_-;\-\$* #,##0_-;_-\$* &quot;-&quot;??_-;_-@_-"/>
    <numFmt numFmtId="178" formatCode="dd/mm/yyyy;@"/>
  </numFmts>
  <fonts count="105">
    <font>
      <sz val="11"/>
      <color theme="1"/>
      <name val="Calibri"/>
      <family val="2"/>
    </font>
    <font>
      <sz val="11"/>
      <color indexed="8"/>
      <name val="Calibri"/>
      <family val="2"/>
    </font>
    <font>
      <sz val="18"/>
      <name val="Arial"/>
      <family val="2"/>
    </font>
    <font>
      <sz val="10"/>
      <name val="Arial"/>
      <family val="2"/>
    </font>
    <font>
      <b/>
      <sz val="12"/>
      <name val="Arial"/>
      <family val="2"/>
    </font>
    <font>
      <b/>
      <i/>
      <sz val="12"/>
      <name val="Arial"/>
      <family val="2"/>
    </font>
    <font>
      <sz val="8"/>
      <name val="Arial"/>
      <family val="2"/>
    </font>
    <font>
      <b/>
      <sz val="12"/>
      <name val="Tahoma"/>
      <family val="2"/>
    </font>
    <font>
      <b/>
      <sz val="8"/>
      <name val="Tahoma"/>
      <family val="2"/>
    </font>
    <font>
      <sz val="10"/>
      <name val="Tahoma"/>
      <family val="2"/>
    </font>
    <font>
      <sz val="10"/>
      <color indexed="8"/>
      <name val="Arial"/>
      <family val="2"/>
    </font>
    <font>
      <i/>
      <sz val="8"/>
      <color indexed="8"/>
      <name val="Calibri"/>
      <family val="2"/>
    </font>
    <font>
      <sz val="10"/>
      <color indexed="9"/>
      <name val="Arial"/>
      <family val="2"/>
    </font>
    <font>
      <sz val="16"/>
      <color indexed="9"/>
      <name val="Arial"/>
      <family val="2"/>
    </font>
    <font>
      <b/>
      <sz val="10"/>
      <name val="Arial"/>
      <family val="2"/>
    </font>
    <font>
      <sz val="10"/>
      <color indexed="10"/>
      <name val="Arial"/>
      <family val="2"/>
    </font>
    <font>
      <b/>
      <sz val="10"/>
      <color indexed="12"/>
      <name val="Arial"/>
      <family val="2"/>
    </font>
    <font>
      <b/>
      <u val="single"/>
      <sz val="11"/>
      <name val="Arial"/>
      <family val="2"/>
    </font>
    <font>
      <sz val="8"/>
      <color indexed="20"/>
      <name val="Arial"/>
      <family val="2"/>
    </font>
    <font>
      <b/>
      <sz val="10"/>
      <color indexed="9"/>
      <name val="Arial"/>
      <family val="2"/>
    </font>
    <font>
      <b/>
      <sz val="8"/>
      <color indexed="50"/>
      <name val="Arial"/>
      <family val="2"/>
    </font>
    <font>
      <b/>
      <sz val="10"/>
      <color indexed="50"/>
      <name val="Arial"/>
      <family val="2"/>
    </font>
    <font>
      <b/>
      <sz val="8"/>
      <color indexed="10"/>
      <name val="Arial"/>
      <family val="2"/>
    </font>
    <font>
      <b/>
      <sz val="8"/>
      <name val="Arial"/>
      <family val="2"/>
    </font>
    <font>
      <sz val="8"/>
      <color indexed="9"/>
      <name val="Arial"/>
      <family val="2"/>
    </font>
    <font>
      <b/>
      <sz val="8"/>
      <color indexed="9"/>
      <name val="Arial"/>
      <family val="2"/>
    </font>
    <font>
      <sz val="10"/>
      <color indexed="20"/>
      <name val="Arial"/>
      <family val="2"/>
    </font>
    <font>
      <b/>
      <sz val="10"/>
      <color indexed="20"/>
      <name val="Arial"/>
      <family val="2"/>
    </font>
    <font>
      <b/>
      <sz val="14"/>
      <name val="Arial"/>
      <family val="2"/>
    </font>
    <font>
      <b/>
      <sz val="8"/>
      <color indexed="51"/>
      <name val="Arial"/>
      <family val="2"/>
    </font>
    <font>
      <sz val="8"/>
      <color indexed="51"/>
      <name val="Arial"/>
      <family val="2"/>
    </font>
    <font>
      <b/>
      <u val="single"/>
      <sz val="11"/>
      <color indexed="9"/>
      <name val="Arial"/>
      <family val="2"/>
    </font>
    <font>
      <sz val="10"/>
      <color indexed="50"/>
      <name val="Arial"/>
      <family val="2"/>
    </font>
    <font>
      <b/>
      <sz val="10"/>
      <color indexed="10"/>
      <name val="Arial"/>
      <family val="2"/>
    </font>
    <font>
      <b/>
      <sz val="8"/>
      <color indexed="12"/>
      <name val="Arial"/>
      <family val="2"/>
    </font>
    <font>
      <sz val="8"/>
      <color indexed="55"/>
      <name val="Arial"/>
      <family val="2"/>
    </font>
    <font>
      <b/>
      <sz val="8"/>
      <color indexed="61"/>
      <name val="Arial"/>
      <family val="2"/>
    </font>
    <font>
      <b/>
      <sz val="10"/>
      <color indexed="14"/>
      <name val="Arial"/>
      <family val="2"/>
    </font>
    <font>
      <sz val="10"/>
      <color indexed="14"/>
      <name val="Arial"/>
      <family val="2"/>
    </font>
    <font>
      <sz val="8"/>
      <color indexed="58"/>
      <name val="Arial"/>
      <family val="2"/>
    </font>
    <font>
      <sz val="8"/>
      <color indexed="5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0"/>
      <color indexed="62"/>
      <name val="Arial"/>
      <family val="2"/>
    </font>
    <font>
      <sz val="8"/>
      <color indexed="8"/>
      <name val="Calibri"/>
      <family val="2"/>
    </font>
    <font>
      <sz val="11"/>
      <color indexed="50"/>
      <name val="Calibri"/>
      <family val="2"/>
    </font>
    <font>
      <sz val="11"/>
      <name val="Calibri"/>
      <family val="2"/>
    </font>
    <font>
      <b/>
      <strike/>
      <sz val="11"/>
      <color indexed="10"/>
      <name val="Calibri"/>
      <family val="2"/>
    </font>
    <font>
      <b/>
      <sz val="15"/>
      <color indexed="9"/>
      <name val="Arial"/>
      <family val="2"/>
    </font>
    <font>
      <b/>
      <i/>
      <sz val="10"/>
      <color indexed="57"/>
      <name val="Arial"/>
      <family val="2"/>
    </font>
    <font>
      <i/>
      <sz val="10"/>
      <color indexed="23"/>
      <name val="Arial"/>
      <family val="2"/>
    </font>
    <font>
      <sz val="18"/>
      <color indexed="56"/>
      <name val="Arial"/>
      <family val="2"/>
    </font>
    <font>
      <b/>
      <sz val="18"/>
      <color indexed="56"/>
      <name val="Arial"/>
      <family val="2"/>
    </font>
    <font>
      <sz val="11"/>
      <color indexed="23"/>
      <name val="Calibri"/>
      <family val="2"/>
    </font>
    <font>
      <sz val="8"/>
      <name val="Segoe UI"/>
      <family val="2"/>
    </font>
    <font>
      <sz val="9"/>
      <color indexed="9"/>
      <name val="Arial"/>
      <family val="2"/>
    </font>
    <font>
      <b/>
      <sz val="10"/>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4"/>
      <name val="Arial"/>
      <family val="2"/>
    </font>
    <font>
      <sz val="11"/>
      <color rgb="FF00B050"/>
      <name val="Calibri"/>
      <family val="2"/>
    </font>
    <font>
      <sz val="8"/>
      <color theme="1"/>
      <name val="Calibri"/>
      <family val="2"/>
    </font>
    <font>
      <sz val="11"/>
      <color rgb="FF92D050"/>
      <name val="Calibri"/>
      <family val="2"/>
    </font>
    <font>
      <b/>
      <sz val="10"/>
      <color theme="0"/>
      <name val="Arial"/>
      <family val="2"/>
    </font>
    <font>
      <sz val="8"/>
      <color theme="0"/>
      <name val="Arial"/>
      <family val="2"/>
    </font>
    <font>
      <b/>
      <sz val="8"/>
      <color theme="0"/>
      <name val="Arial"/>
      <family val="2"/>
    </font>
    <font>
      <b/>
      <strike/>
      <sz val="11"/>
      <color rgb="FFFF0000"/>
      <name val="Calibri"/>
      <family val="2"/>
    </font>
    <font>
      <b/>
      <sz val="15"/>
      <color theme="0"/>
      <name val="Arial"/>
      <family val="2"/>
    </font>
    <font>
      <b/>
      <i/>
      <sz val="10"/>
      <color theme="6"/>
      <name val="Arial"/>
      <family val="2"/>
    </font>
    <font>
      <i/>
      <sz val="10"/>
      <color theme="0" tint="-0.4999699890613556"/>
      <name val="Arial"/>
      <family val="2"/>
    </font>
    <font>
      <sz val="18"/>
      <color theme="3"/>
      <name val="Arial"/>
      <family val="2"/>
    </font>
    <font>
      <b/>
      <sz val="18"/>
      <color theme="3"/>
      <name val="Arial"/>
      <family val="2"/>
    </font>
    <font>
      <sz val="11"/>
      <color theme="0" tint="-0.499969989061355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rgb="FF000066"/>
        <bgColor indexed="64"/>
      </patternFill>
    </fill>
    <fill>
      <patternFill patternType="solid">
        <fgColor rgb="FFFF0000"/>
        <bgColor indexed="64"/>
      </patternFill>
    </fill>
    <fill>
      <patternFill patternType="solid">
        <fgColor theme="0" tint="-0.499969989061355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bottom style="dashed">
        <color indexed="2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bottom style="double"/>
    </border>
    <border>
      <left/>
      <right/>
      <top style="dashed"/>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style="hair"/>
      <top/>
      <bottom/>
    </border>
    <border>
      <left style="hair"/>
      <right style="thin"/>
      <top/>
      <bottom/>
    </border>
    <border>
      <left style="hair"/>
      <right/>
      <top/>
      <bottom/>
    </border>
    <border>
      <left/>
      <right style="hair"/>
      <top/>
      <bottom/>
    </border>
    <border>
      <left/>
      <right/>
      <top/>
      <bottom style="thin">
        <color theme="0"/>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170" fontId="3"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0" fontId="85" fillId="31" borderId="0" applyNumberFormat="0" applyBorder="0" applyAlignment="0" applyProtection="0"/>
    <xf numFmtId="0" fontId="3" fillId="0" borderId="0">
      <alignment wrapText="1"/>
      <protection/>
    </xf>
    <xf numFmtId="0" fontId="3" fillId="0" borderId="0">
      <alignment/>
      <protection/>
    </xf>
    <xf numFmtId="0" fontId="3"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379">
    <xf numFmtId="0" fontId="0" fillId="0" borderId="0" xfId="0" applyFont="1" applyAlignment="1">
      <alignment/>
    </xf>
    <xf numFmtId="0" fontId="3" fillId="0" borderId="0" xfId="64" applyProtection="1">
      <alignment/>
      <protection hidden="1"/>
    </xf>
    <xf numFmtId="0" fontId="3" fillId="0" borderId="0" xfId="64" applyFont="1" applyProtection="1">
      <alignment/>
      <protection hidden="1"/>
    </xf>
    <xf numFmtId="0" fontId="3" fillId="0" borderId="0" xfId="64" applyProtection="1">
      <alignment/>
      <protection hidden="1" locked="0"/>
    </xf>
    <xf numFmtId="0" fontId="6" fillId="0" borderId="0" xfId="47" applyFont="1" applyProtection="1">
      <alignment/>
      <protection hidden="1" locked="0"/>
    </xf>
    <xf numFmtId="0" fontId="6" fillId="0" borderId="0" xfId="47" applyFont="1" applyProtection="1">
      <alignment/>
      <protection hidden="1"/>
    </xf>
    <xf numFmtId="4" fontId="7" fillId="0" borderId="10" xfId="63" applyNumberFormat="1" applyFont="1" applyFill="1" applyBorder="1" applyAlignment="1" applyProtection="1">
      <alignment horizontal="center"/>
      <protection hidden="1" locked="0"/>
    </xf>
    <xf numFmtId="0" fontId="7" fillId="33" borderId="10" xfId="63" applyFont="1" applyFill="1" applyBorder="1" applyAlignment="1" applyProtection="1">
      <alignment horizontal="center"/>
      <protection hidden="1" locked="0"/>
    </xf>
    <xf numFmtId="169" fontId="9" fillId="0" borderId="10" xfId="60" applyNumberFormat="1" applyFont="1" applyBorder="1" applyAlignment="1" applyProtection="1">
      <alignment/>
      <protection hidden="1" locked="0"/>
    </xf>
    <xf numFmtId="0" fontId="9" fillId="0" borderId="10" xfId="58" applyNumberFormat="1" applyFont="1" applyBorder="1" applyAlignment="1" applyProtection="1">
      <alignment horizontal="center"/>
      <protection hidden="1" locked="0"/>
    </xf>
    <xf numFmtId="169" fontId="9" fillId="0" borderId="10" xfId="60" applyNumberFormat="1" applyFont="1" applyBorder="1" applyAlignment="1" applyProtection="1">
      <alignment horizontal="center"/>
      <protection hidden="1" locked="0"/>
    </xf>
    <xf numFmtId="169" fontId="9" fillId="0" borderId="10" xfId="63" applyNumberFormat="1" applyFont="1" applyBorder="1" applyProtection="1">
      <alignment wrapText="1"/>
      <protection hidden="1" locked="0"/>
    </xf>
    <xf numFmtId="0" fontId="3" fillId="0" borderId="0" xfId="63" applyProtection="1">
      <alignment wrapText="1"/>
      <protection hidden="1"/>
    </xf>
    <xf numFmtId="169" fontId="9" fillId="0" borderId="0" xfId="60" applyNumberFormat="1" applyFont="1" applyBorder="1" applyAlignment="1" applyProtection="1">
      <alignment/>
      <protection hidden="1" locked="0"/>
    </xf>
    <xf numFmtId="169" fontId="9" fillId="0" borderId="0" xfId="63" applyNumberFormat="1" applyFont="1" applyBorder="1" applyProtection="1">
      <alignment wrapText="1"/>
      <protection hidden="1" locked="0"/>
    </xf>
    <xf numFmtId="0" fontId="9" fillId="0" borderId="0" xfId="58" applyNumberFormat="1" applyFont="1" applyBorder="1" applyAlignment="1" applyProtection="1">
      <alignment horizontal="center"/>
      <protection hidden="1" locked="0"/>
    </xf>
    <xf numFmtId="169" fontId="9" fillId="0" borderId="0" xfId="60" applyNumberFormat="1" applyFont="1" applyBorder="1" applyAlignment="1" applyProtection="1">
      <alignment horizontal="center"/>
      <protection hidden="1" locked="0"/>
    </xf>
    <xf numFmtId="0" fontId="73" fillId="0" borderId="0" xfId="0" applyFont="1" applyAlignment="1" applyProtection="1">
      <alignment wrapText="1"/>
      <protection hidden="1"/>
    </xf>
    <xf numFmtId="0" fontId="90" fillId="0" borderId="0" xfId="0" applyFont="1" applyAlignment="1" applyProtection="1">
      <alignment wrapText="1"/>
      <protection hidden="1"/>
    </xf>
    <xf numFmtId="0" fontId="0" fillId="0" borderId="0" xfId="0" applyAlignment="1" applyProtection="1">
      <alignment wrapText="1"/>
      <protection hidden="1"/>
    </xf>
    <xf numFmtId="166" fontId="90" fillId="0" borderId="0" xfId="68" applyNumberFormat="1" applyFont="1" applyAlignment="1" applyProtection="1">
      <alignment wrapText="1"/>
      <protection hidden="1"/>
    </xf>
    <xf numFmtId="14" fontId="90" fillId="0" borderId="0" xfId="0" applyNumberFormat="1" applyFont="1" applyAlignment="1" applyProtection="1">
      <alignment wrapText="1"/>
      <protection hidden="1"/>
    </xf>
    <xf numFmtId="0" fontId="2"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4" fillId="0" borderId="0" xfId="0" applyFont="1" applyAlignment="1" applyProtection="1">
      <alignment wrapText="1"/>
      <protection hidden="1"/>
    </xf>
    <xf numFmtId="0" fontId="0" fillId="0" borderId="0" xfId="0" applyAlignment="1" applyProtection="1">
      <alignment horizontal="right" wrapText="1"/>
      <protection hidden="1"/>
    </xf>
    <xf numFmtId="6" fontId="0" fillId="0" borderId="0" xfId="0" applyNumberFormat="1" applyAlignment="1" applyProtection="1">
      <alignment wrapText="1"/>
      <protection hidden="1"/>
    </xf>
    <xf numFmtId="167" fontId="0" fillId="0" borderId="0" xfId="43" applyNumberFormat="1" applyFont="1" applyAlignment="1" applyProtection="1">
      <alignment wrapText="1"/>
      <protection hidden="1"/>
    </xf>
    <xf numFmtId="0" fontId="5" fillId="0" borderId="0" xfId="0" applyFont="1" applyAlignment="1" applyProtection="1">
      <alignment wrapText="1"/>
      <protection hidden="1"/>
    </xf>
    <xf numFmtId="165" fontId="0" fillId="0" borderId="0" xfId="0" applyNumberFormat="1" applyAlignment="1" applyProtection="1">
      <alignment wrapText="1"/>
      <protection hidden="1"/>
    </xf>
    <xf numFmtId="0" fontId="58" fillId="0" borderId="0" xfId="0" applyFont="1" applyAlignment="1" applyProtection="1">
      <alignment wrapText="1"/>
      <protection hidden="1"/>
    </xf>
    <xf numFmtId="6" fontId="0" fillId="0" borderId="11" xfId="0" applyNumberFormat="1" applyBorder="1" applyAlignment="1" applyProtection="1">
      <alignment wrapText="1"/>
      <protection hidden="1"/>
    </xf>
    <xf numFmtId="0" fontId="73" fillId="0" borderId="0" xfId="0" applyFont="1" applyAlignment="1" applyProtection="1">
      <alignment wrapText="1"/>
      <protection hidden="1" locked="0"/>
    </xf>
    <xf numFmtId="165" fontId="0" fillId="0" borderId="0" xfId="0" applyNumberFormat="1" applyAlignment="1" applyProtection="1">
      <alignment wrapText="1"/>
      <protection/>
    </xf>
    <xf numFmtId="0" fontId="0" fillId="0" borderId="0" xfId="0" applyAlignment="1" applyProtection="1">
      <alignment horizontal="left" wrapText="1"/>
      <protection hidden="1"/>
    </xf>
    <xf numFmtId="0" fontId="91" fillId="0" borderId="0" xfId="0" applyFont="1" applyAlignment="1" applyProtection="1">
      <alignment horizontal="left" wrapText="1"/>
      <protection hidden="1"/>
    </xf>
    <xf numFmtId="167" fontId="0" fillId="0" borderId="0" xfId="43" applyNumberFormat="1" applyFont="1" applyBorder="1" applyAlignment="1" applyProtection="1">
      <alignment horizontal="center" wrapText="1"/>
      <protection hidden="1"/>
    </xf>
    <xf numFmtId="167" fontId="73" fillId="0" borderId="0" xfId="43" applyNumberFormat="1" applyFont="1" applyAlignment="1" applyProtection="1">
      <alignment wrapText="1"/>
      <protection hidden="1"/>
    </xf>
    <xf numFmtId="0" fontId="92" fillId="0" borderId="0" xfId="0" applyFont="1" applyAlignment="1" applyProtection="1">
      <alignment wrapText="1"/>
      <protection hidden="1"/>
    </xf>
    <xf numFmtId="0" fontId="93" fillId="0" borderId="0" xfId="0" applyFont="1" applyAlignment="1" applyProtection="1">
      <alignment horizontal="right" wrapText="1"/>
      <protection hidden="1"/>
    </xf>
    <xf numFmtId="6" fontId="94" fillId="0" borderId="0" xfId="0" applyNumberFormat="1" applyFont="1" applyBorder="1" applyAlignment="1" applyProtection="1">
      <alignment wrapText="1"/>
      <protection hidden="1"/>
    </xf>
    <xf numFmtId="6" fontId="73" fillId="0" borderId="0" xfId="0" applyNumberFormat="1" applyFont="1" applyAlignment="1" applyProtection="1">
      <alignment wrapText="1"/>
      <protection hidden="1"/>
    </xf>
    <xf numFmtId="167" fontId="73" fillId="0" borderId="0" xfId="0" applyNumberFormat="1" applyFont="1" applyAlignment="1" applyProtection="1">
      <alignment wrapText="1"/>
      <protection hidden="1"/>
    </xf>
    <xf numFmtId="0" fontId="0" fillId="0" borderId="0" xfId="0" applyAlignment="1" applyProtection="1">
      <alignment horizontal="left" wrapText="1"/>
      <protection hidden="1"/>
    </xf>
    <xf numFmtId="14" fontId="0" fillId="0" borderId="0" xfId="0" applyNumberFormat="1" applyAlignment="1" applyProtection="1">
      <alignment wrapText="1"/>
      <protection hidden="1"/>
    </xf>
    <xf numFmtId="0" fontId="0" fillId="0" borderId="0" xfId="0" applyAlignment="1">
      <alignment vertical="center"/>
    </xf>
    <xf numFmtId="0" fontId="12" fillId="0" borderId="0" xfId="64" applyFont="1" applyProtection="1">
      <alignment/>
      <protection hidden="1"/>
    </xf>
    <xf numFmtId="0" fontId="14" fillId="0" borderId="12" xfId="64" applyFont="1" applyFill="1" applyBorder="1" applyAlignment="1" applyProtection="1">
      <alignment horizontal="left"/>
      <protection hidden="1"/>
    </xf>
    <xf numFmtId="0" fontId="15" fillId="0" borderId="12" xfId="47" applyFont="1" applyFill="1" applyBorder="1" applyProtection="1">
      <alignment/>
      <protection hidden="1"/>
    </xf>
    <xf numFmtId="0" fontId="3" fillId="0" borderId="0" xfId="64" applyFont="1" applyBorder="1" applyAlignment="1" applyProtection="1">
      <alignment horizontal="left"/>
      <protection hidden="1"/>
    </xf>
    <xf numFmtId="0" fontId="3" fillId="0" borderId="0" xfId="47" applyFont="1" applyFill="1" applyAlignment="1" applyProtection="1">
      <alignment horizontal="left"/>
      <protection hidden="1"/>
    </xf>
    <xf numFmtId="0" fontId="6" fillId="0" borderId="13" xfId="47" applyFont="1" applyBorder="1" applyProtection="1">
      <alignment/>
      <protection hidden="1" locked="0"/>
    </xf>
    <xf numFmtId="0" fontId="6" fillId="0" borderId="14" xfId="47" applyFont="1" applyBorder="1" applyProtection="1">
      <alignment/>
      <protection hidden="1" locked="0"/>
    </xf>
    <xf numFmtId="0" fontId="6" fillId="0" borderId="15" xfId="47" applyFont="1" applyBorder="1" applyProtection="1">
      <alignment/>
      <protection hidden="1" locked="0"/>
    </xf>
    <xf numFmtId="0" fontId="6" fillId="0" borderId="16" xfId="47" applyFont="1" applyBorder="1" applyProtection="1">
      <alignment/>
      <protection hidden="1" locked="0"/>
    </xf>
    <xf numFmtId="0" fontId="6" fillId="0" borderId="0" xfId="47" applyFont="1" applyBorder="1" applyProtection="1">
      <alignment/>
      <protection hidden="1" locked="0"/>
    </xf>
    <xf numFmtId="9" fontId="6" fillId="0" borderId="0" xfId="47" applyNumberFormat="1" applyFont="1" applyBorder="1" applyProtection="1">
      <alignment/>
      <protection hidden="1" locked="0"/>
    </xf>
    <xf numFmtId="0" fontId="6" fillId="0" borderId="17" xfId="47" applyFont="1" applyBorder="1" applyProtection="1">
      <alignment/>
      <protection hidden="1" locked="0"/>
    </xf>
    <xf numFmtId="0" fontId="14" fillId="0" borderId="0" xfId="64" applyFont="1" applyBorder="1" applyAlignment="1" applyProtection="1">
      <alignment horizontal="left"/>
      <protection hidden="1"/>
    </xf>
    <xf numFmtId="171" fontId="14" fillId="0" borderId="0" xfId="60" applyNumberFormat="1" applyFont="1" applyFill="1" applyAlignment="1" applyProtection="1">
      <alignment/>
      <protection hidden="1"/>
    </xf>
    <xf numFmtId="0" fontId="17" fillId="0" borderId="0" xfId="47" applyFont="1" applyProtection="1">
      <alignment/>
      <protection hidden="1"/>
    </xf>
    <xf numFmtId="0" fontId="18" fillId="0" borderId="16" xfId="47" applyFont="1" applyBorder="1" applyProtection="1">
      <alignment/>
      <protection hidden="1" locked="0"/>
    </xf>
    <xf numFmtId="0" fontId="18" fillId="0" borderId="0" xfId="47" applyFont="1" applyBorder="1" applyProtection="1">
      <alignment/>
      <protection hidden="1" locked="0"/>
    </xf>
    <xf numFmtId="171" fontId="6" fillId="0" borderId="0" xfId="60" applyNumberFormat="1" applyFont="1" applyBorder="1" applyAlignment="1" applyProtection="1">
      <alignment/>
      <protection hidden="1" locked="0"/>
    </xf>
    <xf numFmtId="172" fontId="18" fillId="0" borderId="0" xfId="47" applyNumberFormat="1" applyFont="1" applyBorder="1" applyProtection="1">
      <alignment/>
      <protection hidden="1" locked="0"/>
    </xf>
    <xf numFmtId="164" fontId="18" fillId="0" borderId="0" xfId="58" applyFont="1" applyBorder="1" applyAlignment="1" applyProtection="1">
      <alignment/>
      <protection hidden="1" locked="0"/>
    </xf>
    <xf numFmtId="166" fontId="18" fillId="0" borderId="0" xfId="69" applyNumberFormat="1" applyFont="1" applyBorder="1" applyAlignment="1" applyProtection="1">
      <alignment/>
      <protection hidden="1" locked="0"/>
    </xf>
    <xf numFmtId="0" fontId="20" fillId="0" borderId="0" xfId="47" applyFont="1" applyProtection="1">
      <alignment/>
      <protection hidden="1" locked="0"/>
    </xf>
    <xf numFmtId="10" fontId="20" fillId="0" borderId="13" xfId="69" applyNumberFormat="1" applyFont="1" applyBorder="1" applyAlignment="1" applyProtection="1">
      <alignment/>
      <protection hidden="1" locked="0"/>
    </xf>
    <xf numFmtId="0" fontId="21" fillId="0" borderId="14" xfId="64" applyFont="1" applyBorder="1" applyProtection="1">
      <alignment/>
      <protection hidden="1" locked="0"/>
    </xf>
    <xf numFmtId="0" fontId="3" fillId="0" borderId="15" xfId="64" applyBorder="1" applyProtection="1">
      <alignment/>
      <protection hidden="1" locked="0"/>
    </xf>
    <xf numFmtId="0" fontId="15" fillId="0" borderId="0" xfId="47" applyFont="1" applyProtection="1">
      <alignment/>
      <protection hidden="1"/>
    </xf>
    <xf numFmtId="0" fontId="21" fillId="0" borderId="16" xfId="64" applyFont="1" applyBorder="1" applyProtection="1">
      <alignment/>
      <protection hidden="1" locked="0"/>
    </xf>
    <xf numFmtId="0" fontId="21" fillId="0" borderId="0" xfId="64" applyFont="1" applyBorder="1" applyProtection="1">
      <alignment/>
      <protection hidden="1" locked="0"/>
    </xf>
    <xf numFmtId="0" fontId="3" fillId="0" borderId="17" xfId="64" applyBorder="1" applyProtection="1">
      <alignment/>
      <protection hidden="1" locked="0"/>
    </xf>
    <xf numFmtId="172" fontId="22" fillId="0" borderId="0" xfId="47" applyNumberFormat="1" applyFont="1" applyBorder="1" applyProtection="1">
      <alignment/>
      <protection hidden="1" locked="0"/>
    </xf>
    <xf numFmtId="0" fontId="21" fillId="0" borderId="16" xfId="64" applyFont="1" applyFill="1" applyBorder="1" applyProtection="1">
      <alignment/>
      <protection hidden="1" locked="0"/>
    </xf>
    <xf numFmtId="0" fontId="21" fillId="0" borderId="0" xfId="64" applyFont="1" applyFill="1" applyBorder="1" applyProtection="1">
      <alignment/>
      <protection hidden="1" locked="0"/>
    </xf>
    <xf numFmtId="172" fontId="6" fillId="0" borderId="0" xfId="69" applyNumberFormat="1" applyFont="1" applyFill="1" applyBorder="1" applyAlignment="1" applyProtection="1">
      <alignment/>
      <protection hidden="1" locked="0"/>
    </xf>
    <xf numFmtId="0" fontId="6" fillId="0" borderId="0" xfId="47" applyFont="1" applyFill="1" applyBorder="1" applyProtection="1">
      <alignment/>
      <protection hidden="1" locked="0"/>
    </xf>
    <xf numFmtId="0" fontId="3" fillId="0" borderId="0" xfId="64" applyFont="1" applyAlignment="1" applyProtection="1">
      <alignment horizontal="left"/>
      <protection hidden="1"/>
    </xf>
    <xf numFmtId="6" fontId="3" fillId="0" borderId="0" xfId="64" applyNumberFormat="1" applyFont="1" applyFill="1" applyProtection="1">
      <alignment/>
      <protection hidden="1"/>
    </xf>
    <xf numFmtId="166" fontId="21" fillId="0" borderId="0" xfId="69" applyNumberFormat="1" applyFont="1" applyFill="1" applyBorder="1" applyAlignment="1" applyProtection="1">
      <alignment/>
      <protection hidden="1" locked="0"/>
    </xf>
    <xf numFmtId="172" fontId="23" fillId="0" borderId="0" xfId="47" applyNumberFormat="1" applyFont="1" applyFill="1" applyBorder="1" applyProtection="1">
      <alignment/>
      <protection hidden="1" locked="0"/>
    </xf>
    <xf numFmtId="166" fontId="20" fillId="0" borderId="0" xfId="69" applyNumberFormat="1" applyFont="1" applyFill="1" applyBorder="1" applyAlignment="1" applyProtection="1">
      <alignment/>
      <protection hidden="1" locked="0"/>
    </xf>
    <xf numFmtId="165" fontId="3" fillId="0" borderId="0" xfId="58" applyNumberFormat="1" applyFont="1" applyAlignment="1" applyProtection="1">
      <alignment/>
      <protection hidden="1"/>
    </xf>
    <xf numFmtId="0" fontId="21" fillId="0" borderId="16" xfId="64" applyFont="1" applyFill="1" applyBorder="1" applyAlignment="1" applyProtection="1">
      <alignment/>
      <protection hidden="1" locked="0"/>
    </xf>
    <xf numFmtId="0" fontId="21" fillId="0" borderId="0" xfId="64" applyFont="1" applyFill="1" applyBorder="1" applyAlignment="1" applyProtection="1">
      <alignment/>
      <protection hidden="1" locked="0"/>
    </xf>
    <xf numFmtId="172" fontId="20" fillId="0" borderId="0" xfId="47" applyNumberFormat="1" applyFont="1" applyBorder="1" applyProtection="1">
      <alignment/>
      <protection hidden="1" locked="0"/>
    </xf>
    <xf numFmtId="166" fontId="20" fillId="0" borderId="0" xfId="47" applyNumberFormat="1" applyFont="1" applyFill="1" applyBorder="1" applyProtection="1">
      <alignment/>
      <protection hidden="1" locked="0"/>
    </xf>
    <xf numFmtId="0" fontId="12" fillId="0" borderId="0" xfId="63" applyFont="1" applyProtection="1">
      <alignment wrapText="1"/>
      <protection hidden="1" locked="0"/>
    </xf>
    <xf numFmtId="10" fontId="20" fillId="0" borderId="0" xfId="47" applyNumberFormat="1" applyFont="1" applyFill="1" applyBorder="1" applyProtection="1">
      <alignment/>
      <protection hidden="1" locked="0"/>
    </xf>
    <xf numFmtId="0" fontId="14" fillId="0" borderId="13" xfId="47" applyFont="1" applyBorder="1" applyAlignment="1" applyProtection="1">
      <alignment/>
      <protection hidden="1" locked="0"/>
    </xf>
    <xf numFmtId="0" fontId="14" fillId="0" borderId="14" xfId="47" applyFont="1" applyBorder="1" applyAlignment="1" applyProtection="1">
      <alignment/>
      <protection hidden="1" locked="0"/>
    </xf>
    <xf numFmtId="0" fontId="14" fillId="0" borderId="15" xfId="47" applyFont="1" applyBorder="1" applyAlignment="1" applyProtection="1">
      <alignment/>
      <protection hidden="1" locked="0"/>
    </xf>
    <xf numFmtId="0" fontId="24" fillId="0" borderId="0" xfId="47" applyFont="1" applyProtection="1">
      <alignment/>
      <protection hidden="1" locked="0"/>
    </xf>
    <xf numFmtId="0" fontId="3" fillId="0" borderId="0" xfId="64" applyFont="1" applyFill="1" applyAlignment="1" applyProtection="1">
      <alignment horizontal="left"/>
      <protection hidden="1"/>
    </xf>
    <xf numFmtId="0" fontId="21" fillId="0" borderId="18" xfId="64" applyFont="1" applyFill="1" applyBorder="1" applyProtection="1">
      <alignment/>
      <protection hidden="1" locked="0"/>
    </xf>
    <xf numFmtId="0" fontId="21" fillId="0" borderId="11" xfId="64" applyFont="1" applyFill="1" applyBorder="1" applyProtection="1">
      <alignment/>
      <protection hidden="1" locked="0"/>
    </xf>
    <xf numFmtId="0" fontId="3" fillId="0" borderId="19" xfId="64" applyBorder="1" applyProtection="1">
      <alignment/>
      <protection hidden="1" locked="0"/>
    </xf>
    <xf numFmtId="165" fontId="20" fillId="0" borderId="0" xfId="64" applyNumberFormat="1" applyFont="1" applyBorder="1" applyProtection="1">
      <alignment/>
      <protection hidden="1" locked="0"/>
    </xf>
    <xf numFmtId="0" fontId="3" fillId="0" borderId="16" xfId="47" applyFont="1" applyBorder="1" applyAlignment="1" applyProtection="1">
      <alignment/>
      <protection hidden="1" locked="0"/>
    </xf>
    <xf numFmtId="0" fontId="3" fillId="0" borderId="0" xfId="47" applyFont="1" applyBorder="1" applyAlignment="1" applyProtection="1">
      <alignment/>
      <protection hidden="1" locked="0"/>
    </xf>
    <xf numFmtId="0" fontId="3" fillId="0" borderId="17" xfId="47" applyFont="1" applyBorder="1" applyAlignment="1" applyProtection="1">
      <alignment/>
      <protection hidden="1" locked="0"/>
    </xf>
    <xf numFmtId="0" fontId="25" fillId="0" borderId="0" xfId="47" applyFont="1" applyProtection="1">
      <alignment/>
      <protection hidden="1" locked="0"/>
    </xf>
    <xf numFmtId="0" fontId="6" fillId="0" borderId="16" xfId="47" applyFont="1" applyBorder="1" applyAlignment="1" applyProtection="1">
      <alignment/>
      <protection hidden="1" locked="0"/>
    </xf>
    <xf numFmtId="0" fontId="6" fillId="0" borderId="0" xfId="47" applyFont="1" applyBorder="1" applyAlignment="1" applyProtection="1">
      <alignment/>
      <protection hidden="1" locked="0"/>
    </xf>
    <xf numFmtId="0" fontId="6" fillId="0" borderId="20" xfId="47" applyFont="1" applyBorder="1" applyProtection="1">
      <alignment/>
      <protection hidden="1" locked="0"/>
    </xf>
    <xf numFmtId="9" fontId="25" fillId="0" borderId="0" xfId="47" applyNumberFormat="1" applyFont="1" applyFill="1" applyProtection="1">
      <alignment/>
      <protection hidden="1" locked="0"/>
    </xf>
    <xf numFmtId="0" fontId="26" fillId="0" borderId="16" xfId="63" applyFont="1" applyBorder="1" applyProtection="1">
      <alignment wrapText="1"/>
      <protection hidden="1" locked="0"/>
    </xf>
    <xf numFmtId="0" fontId="26" fillId="0" borderId="0" xfId="63" applyFont="1" applyBorder="1" applyProtection="1">
      <alignment wrapText="1"/>
      <protection hidden="1" locked="0"/>
    </xf>
    <xf numFmtId="0" fontId="3" fillId="0" borderId="0" xfId="63" applyBorder="1" applyProtection="1">
      <alignment wrapText="1"/>
      <protection hidden="1" locked="0"/>
    </xf>
    <xf numFmtId="172" fontId="20" fillId="0" borderId="0" xfId="63" applyNumberFormat="1" applyFont="1" applyBorder="1" applyProtection="1">
      <alignment wrapText="1"/>
      <protection hidden="1" locked="0"/>
    </xf>
    <xf numFmtId="0" fontId="3" fillId="0" borderId="17" xfId="63" applyBorder="1" applyProtection="1">
      <alignment wrapText="1"/>
      <protection hidden="1" locked="0"/>
    </xf>
    <xf numFmtId="0" fontId="20" fillId="0" borderId="16" xfId="47" applyFont="1" applyBorder="1" applyProtection="1">
      <alignment/>
      <protection hidden="1" locked="0"/>
    </xf>
    <xf numFmtId="0" fontId="20" fillId="34" borderId="0" xfId="47" applyFont="1" applyFill="1" applyBorder="1" applyProtection="1">
      <alignment/>
      <protection hidden="1" locked="0"/>
    </xf>
    <xf numFmtId="0" fontId="20" fillId="0" borderId="0" xfId="47" applyFont="1" applyFill="1" applyBorder="1" applyProtection="1">
      <alignment/>
      <protection hidden="1" locked="0"/>
    </xf>
    <xf numFmtId="0" fontId="20" fillId="0" borderId="0" xfId="47" applyFont="1" applyBorder="1" applyProtection="1">
      <alignment/>
      <protection hidden="1" locked="0"/>
    </xf>
    <xf numFmtId="0" fontId="3" fillId="0" borderId="0" xfId="63" applyProtection="1">
      <alignment wrapText="1"/>
      <protection hidden="1" locked="0"/>
    </xf>
    <xf numFmtId="0" fontId="27" fillId="0" borderId="16" xfId="64" applyFont="1" applyBorder="1" applyAlignment="1" applyProtection="1">
      <alignment horizontal="right"/>
      <protection hidden="1" locked="0"/>
    </xf>
    <xf numFmtId="0" fontId="26" fillId="0" borderId="0" xfId="64" applyFont="1" applyBorder="1" applyProtection="1">
      <alignment/>
      <protection hidden="1" locked="0"/>
    </xf>
    <xf numFmtId="0" fontId="3" fillId="0" borderId="0" xfId="64" applyBorder="1" applyProtection="1">
      <alignment/>
      <protection hidden="1" locked="0"/>
    </xf>
    <xf numFmtId="0" fontId="28" fillId="0" borderId="16" xfId="47" applyFont="1" applyBorder="1" applyAlignment="1" applyProtection="1">
      <alignment horizontal="left"/>
      <protection hidden="1" locked="0"/>
    </xf>
    <xf numFmtId="9" fontId="21" fillId="0" borderId="0" xfId="64" applyNumberFormat="1" applyFont="1" applyFill="1" applyBorder="1" applyProtection="1">
      <alignment/>
      <protection hidden="1" locked="0"/>
    </xf>
    <xf numFmtId="0" fontId="14" fillId="0" borderId="0" xfId="64" applyFont="1" applyFill="1" applyAlignment="1" applyProtection="1">
      <alignment horizontal="left"/>
      <protection hidden="1"/>
    </xf>
    <xf numFmtId="0" fontId="6" fillId="0" borderId="15" xfId="47" applyFont="1" applyFill="1" applyBorder="1" applyProtection="1">
      <alignment/>
      <protection hidden="1" locked="0"/>
    </xf>
    <xf numFmtId="0" fontId="26" fillId="0" borderId="16" xfId="64" applyFont="1" applyBorder="1" applyProtection="1">
      <alignment/>
      <protection hidden="1" locked="0"/>
    </xf>
    <xf numFmtId="0" fontId="17" fillId="0" borderId="18" xfId="47" applyFont="1" applyBorder="1" applyProtection="1">
      <alignment/>
      <protection hidden="1" locked="0"/>
    </xf>
    <xf numFmtId="0" fontId="6" fillId="0" borderId="11" xfId="47" applyFont="1" applyFill="1" applyBorder="1" applyProtection="1">
      <alignment/>
      <protection hidden="1" locked="0"/>
    </xf>
    <xf numFmtId="0" fontId="20" fillId="0" borderId="11" xfId="47" applyFont="1" applyFill="1" applyBorder="1" applyProtection="1">
      <alignment/>
      <protection hidden="1" locked="0"/>
    </xf>
    <xf numFmtId="0" fontId="6" fillId="0" borderId="11" xfId="47" applyFont="1" applyBorder="1" applyProtection="1">
      <alignment/>
      <protection hidden="1" locked="0"/>
    </xf>
    <xf numFmtId="0" fontId="6" fillId="0" borderId="19" xfId="47" applyFont="1" applyBorder="1" applyProtection="1">
      <alignment/>
      <protection hidden="1" locked="0"/>
    </xf>
    <xf numFmtId="0" fontId="24" fillId="0" borderId="0" xfId="47" applyFont="1" applyAlignment="1" applyProtection="1">
      <alignment horizontal="right"/>
      <protection hidden="1" locked="0"/>
    </xf>
    <xf numFmtId="0" fontId="6" fillId="0" borderId="17" xfId="47" applyFont="1" applyFill="1" applyBorder="1" applyProtection="1">
      <alignment/>
      <protection hidden="1" locked="0"/>
    </xf>
    <xf numFmtId="8" fontId="27" fillId="0" borderId="0" xfId="64" applyNumberFormat="1" applyFont="1" applyFill="1" applyBorder="1" applyProtection="1">
      <alignment/>
      <protection hidden="1" locked="0"/>
    </xf>
    <xf numFmtId="166" fontId="6" fillId="0" borderId="0" xfId="47" applyNumberFormat="1" applyFont="1" applyFill="1" applyBorder="1" applyProtection="1">
      <alignment/>
      <protection hidden="1" locked="0"/>
    </xf>
    <xf numFmtId="172" fontId="6" fillId="0" borderId="0" xfId="47" applyNumberFormat="1" applyFont="1" applyBorder="1" applyProtection="1">
      <alignment/>
      <protection hidden="1" locked="0"/>
    </xf>
    <xf numFmtId="0" fontId="12" fillId="0" borderId="0" xfId="64" applyFont="1" applyProtection="1">
      <alignment/>
      <protection hidden="1" locked="0"/>
    </xf>
    <xf numFmtId="0" fontId="30" fillId="0" borderId="0" xfId="64" applyFont="1" applyProtection="1">
      <alignment/>
      <protection hidden="1"/>
    </xf>
    <xf numFmtId="10" fontId="3" fillId="0" borderId="0" xfId="64" applyNumberFormat="1" applyBorder="1" applyProtection="1">
      <alignment/>
      <protection hidden="1" locked="0"/>
    </xf>
    <xf numFmtId="9" fontId="6" fillId="0" borderId="0" xfId="47" applyNumberFormat="1" applyFont="1" applyFill="1" applyBorder="1" applyProtection="1">
      <alignment/>
      <protection hidden="1" locked="0"/>
    </xf>
    <xf numFmtId="0" fontId="31" fillId="0" borderId="0" xfId="47" applyFont="1" applyProtection="1">
      <alignment/>
      <protection hidden="1" locked="0"/>
    </xf>
    <xf numFmtId="0" fontId="3" fillId="0" borderId="0" xfId="64" applyFill="1" applyProtection="1">
      <alignment/>
      <protection hidden="1"/>
    </xf>
    <xf numFmtId="0" fontId="32" fillId="0" borderId="16" xfId="64" applyFont="1" applyBorder="1" applyProtection="1">
      <alignment/>
      <protection hidden="1" locked="0"/>
    </xf>
    <xf numFmtId="166" fontId="3" fillId="0" borderId="0" xfId="69" applyNumberFormat="1" applyFont="1" applyBorder="1" applyAlignment="1" applyProtection="1">
      <alignment/>
      <protection hidden="1" locked="0"/>
    </xf>
    <xf numFmtId="0" fontId="32" fillId="0" borderId="0" xfId="64" applyFont="1" applyBorder="1" applyProtection="1">
      <alignment/>
      <protection hidden="1" locked="0"/>
    </xf>
    <xf numFmtId="165" fontId="6" fillId="0" borderId="0" xfId="47" applyNumberFormat="1" applyFont="1" applyBorder="1" applyProtection="1">
      <alignment/>
      <protection hidden="1" locked="0"/>
    </xf>
    <xf numFmtId="0" fontId="19" fillId="0" borderId="0" xfId="64" applyFont="1" applyProtection="1">
      <alignment/>
      <protection hidden="1" locked="0"/>
    </xf>
    <xf numFmtId="0" fontId="6" fillId="0" borderId="16" xfId="47" applyFont="1" applyFill="1" applyBorder="1" applyProtection="1">
      <alignment/>
      <protection hidden="1" locked="0"/>
    </xf>
    <xf numFmtId="43" fontId="14" fillId="0" borderId="0" xfId="64" applyNumberFormat="1" applyFont="1" applyFill="1" applyBorder="1" applyProtection="1">
      <alignment/>
      <protection hidden="1" locked="0"/>
    </xf>
    <xf numFmtId="0" fontId="32" fillId="0" borderId="0" xfId="64" applyFont="1" applyBorder="1" applyAlignment="1" applyProtection="1">
      <alignment horizontal="right"/>
      <protection hidden="1" locked="0"/>
    </xf>
    <xf numFmtId="1" fontId="3" fillId="0" borderId="0" xfId="64" applyNumberFormat="1" applyProtection="1">
      <alignment/>
      <protection hidden="1"/>
    </xf>
    <xf numFmtId="0" fontId="33" fillId="0" borderId="0" xfId="64" applyFont="1" applyFill="1" applyBorder="1" applyAlignment="1" applyProtection="1">
      <alignment/>
      <protection hidden="1"/>
    </xf>
    <xf numFmtId="165" fontId="6" fillId="0" borderId="16" xfId="58" applyNumberFormat="1" applyFont="1" applyBorder="1" applyAlignment="1" applyProtection="1">
      <alignment/>
      <protection hidden="1" locked="0"/>
    </xf>
    <xf numFmtId="0" fontId="15" fillId="0" borderId="0" xfId="64" applyFont="1" applyFill="1" applyProtection="1">
      <alignment/>
      <protection hidden="1"/>
    </xf>
    <xf numFmtId="9" fontId="3" fillId="0" borderId="0" xfId="64" applyNumberFormat="1" applyFont="1" applyFill="1" applyProtection="1">
      <alignment/>
      <protection hidden="1"/>
    </xf>
    <xf numFmtId="0" fontId="6" fillId="35" borderId="0" xfId="47" applyFont="1" applyFill="1" applyProtection="1">
      <alignment/>
      <protection hidden="1" locked="0"/>
    </xf>
    <xf numFmtId="165" fontId="29" fillId="0" borderId="16" xfId="58" applyNumberFormat="1" applyFont="1" applyFill="1" applyBorder="1" applyAlignment="1" applyProtection="1">
      <alignment/>
      <protection hidden="1" locked="0"/>
    </xf>
    <xf numFmtId="0" fontId="29" fillId="0" borderId="17" xfId="47" applyFont="1" applyBorder="1" applyProtection="1">
      <alignment/>
      <protection hidden="1" locked="0"/>
    </xf>
    <xf numFmtId="44" fontId="3" fillId="0" borderId="0" xfId="61" applyFont="1" applyFill="1" applyAlignment="1" applyProtection="1">
      <alignment/>
      <protection hidden="1"/>
    </xf>
    <xf numFmtId="165" fontId="6" fillId="35" borderId="0" xfId="58" applyNumberFormat="1" applyFont="1" applyFill="1" applyAlignment="1" applyProtection="1">
      <alignment/>
      <protection hidden="1" locked="0"/>
    </xf>
    <xf numFmtId="44" fontId="32" fillId="0" borderId="0" xfId="61" applyFont="1" applyBorder="1" applyAlignment="1" applyProtection="1">
      <alignment/>
      <protection hidden="1" locked="0"/>
    </xf>
    <xf numFmtId="0" fontId="34" fillId="0" borderId="0" xfId="47" applyFont="1" applyFill="1" applyBorder="1" applyAlignment="1" applyProtection="1">
      <alignment horizontal="right"/>
      <protection hidden="1" locked="0"/>
    </xf>
    <xf numFmtId="172" fontId="34" fillId="33" borderId="17" xfId="64" applyNumberFormat="1" applyFont="1" applyFill="1" applyBorder="1" applyProtection="1">
      <alignment/>
      <protection hidden="1" locked="0"/>
    </xf>
    <xf numFmtId="166" fontId="3" fillId="0" borderId="0" xfId="47" applyNumberFormat="1" applyFont="1" applyProtection="1">
      <alignment/>
      <protection hidden="1"/>
    </xf>
    <xf numFmtId="165" fontId="6" fillId="35" borderId="0" xfId="47" applyNumberFormat="1" applyFont="1" applyFill="1" applyProtection="1">
      <alignment/>
      <protection hidden="1" locked="0"/>
    </xf>
    <xf numFmtId="173" fontId="3" fillId="0" borderId="0" xfId="64" applyNumberFormat="1" applyProtection="1">
      <alignment/>
      <protection hidden="1" locked="0"/>
    </xf>
    <xf numFmtId="165" fontId="20" fillId="0" borderId="16" xfId="58" applyNumberFormat="1" applyFont="1" applyFill="1" applyBorder="1" applyAlignment="1" applyProtection="1">
      <alignment/>
      <protection hidden="1" locked="0"/>
    </xf>
    <xf numFmtId="0" fontId="20" fillId="0" borderId="17" xfId="47" applyFont="1" applyBorder="1" applyProtection="1">
      <alignment/>
      <protection hidden="1" locked="0"/>
    </xf>
    <xf numFmtId="0" fontId="3" fillId="0" borderId="0" xfId="64" applyBorder="1" applyAlignment="1" applyProtection="1">
      <alignment horizontal="right"/>
      <protection hidden="1" locked="0"/>
    </xf>
    <xf numFmtId="174" fontId="3" fillId="0" borderId="0" xfId="64" applyNumberFormat="1" applyBorder="1" applyProtection="1">
      <alignment/>
      <protection hidden="1" locked="0"/>
    </xf>
    <xf numFmtId="44" fontId="3" fillId="0" borderId="0" xfId="61" applyBorder="1" applyAlignment="1" applyProtection="1">
      <alignment/>
      <protection hidden="1" locked="0"/>
    </xf>
    <xf numFmtId="0" fontId="6" fillId="0" borderId="18" xfId="47" applyFont="1" applyBorder="1" applyProtection="1">
      <alignment/>
      <protection hidden="1" locked="0"/>
    </xf>
    <xf numFmtId="172" fontId="29" fillId="0" borderId="16" xfId="47" applyNumberFormat="1" applyFont="1" applyFill="1" applyBorder="1" applyProtection="1">
      <alignment/>
      <protection hidden="1" locked="0"/>
    </xf>
    <xf numFmtId="0" fontId="32" fillId="0" borderId="16" xfId="64" applyFont="1" applyFill="1" applyBorder="1" applyProtection="1">
      <alignment/>
      <protection hidden="1" locked="0"/>
    </xf>
    <xf numFmtId="172" fontId="20" fillId="0" borderId="16" xfId="47" applyNumberFormat="1" applyFont="1" applyBorder="1" applyProtection="1">
      <alignment/>
      <protection hidden="1" locked="0"/>
    </xf>
    <xf numFmtId="10" fontId="32" fillId="0" borderId="16" xfId="69" applyNumberFormat="1" applyFont="1" applyFill="1" applyBorder="1" applyAlignment="1" applyProtection="1">
      <alignment/>
      <protection hidden="1" locked="0"/>
    </xf>
    <xf numFmtId="9" fontId="32" fillId="0" borderId="0" xfId="64" applyNumberFormat="1" applyFont="1" applyBorder="1" applyProtection="1">
      <alignment/>
      <protection hidden="1" locked="0"/>
    </xf>
    <xf numFmtId="166" fontId="3" fillId="0" borderId="0" xfId="64" applyNumberFormat="1" applyFill="1" applyBorder="1" applyProtection="1">
      <alignment/>
      <protection hidden="1" locked="0"/>
    </xf>
    <xf numFmtId="6" fontId="29" fillId="0" borderId="16" xfId="47" applyNumberFormat="1" applyFont="1" applyBorder="1" applyProtection="1">
      <alignment/>
      <protection hidden="1" locked="0"/>
    </xf>
    <xf numFmtId="2" fontId="3" fillId="0" borderId="0" xfId="64" applyNumberFormat="1" applyProtection="1">
      <alignment/>
      <protection hidden="1"/>
    </xf>
    <xf numFmtId="6" fontId="36" fillId="0" borderId="16" xfId="47" applyNumberFormat="1" applyFont="1" applyBorder="1" applyProtection="1">
      <alignment/>
      <protection hidden="1" locked="0"/>
    </xf>
    <xf numFmtId="0" fontId="36" fillId="0" borderId="17" xfId="47" applyFont="1" applyBorder="1" applyProtection="1">
      <alignment/>
      <protection hidden="1" locked="0"/>
    </xf>
    <xf numFmtId="10" fontId="32" fillId="0" borderId="16" xfId="64" applyNumberFormat="1" applyFont="1" applyFill="1" applyBorder="1" applyProtection="1">
      <alignment/>
      <protection hidden="1" locked="0"/>
    </xf>
    <xf numFmtId="172" fontId="29" fillId="0" borderId="16" xfId="47" applyNumberFormat="1" applyFont="1" applyBorder="1" applyProtection="1">
      <alignment/>
      <protection hidden="1" locked="0"/>
    </xf>
    <xf numFmtId="0" fontId="29" fillId="0" borderId="17" xfId="64" applyFont="1" applyBorder="1" applyProtection="1">
      <alignment/>
      <protection hidden="1" locked="0"/>
    </xf>
    <xf numFmtId="172" fontId="20" fillId="0" borderId="16" xfId="64" applyNumberFormat="1" applyFont="1" applyBorder="1" applyProtection="1">
      <alignment/>
      <protection hidden="1" locked="0"/>
    </xf>
    <xf numFmtId="0" fontId="20" fillId="0" borderId="17" xfId="64" applyFont="1" applyBorder="1" applyProtection="1">
      <alignment/>
      <protection hidden="1" locked="0"/>
    </xf>
    <xf numFmtId="172" fontId="20" fillId="0" borderId="18" xfId="47" applyNumberFormat="1" applyFont="1" applyBorder="1" applyProtection="1">
      <alignment/>
      <protection hidden="1" locked="0"/>
    </xf>
    <xf numFmtId="0" fontId="36" fillId="0" borderId="19" xfId="47" applyFont="1" applyBorder="1" applyProtection="1">
      <alignment/>
      <protection hidden="1" locked="0"/>
    </xf>
    <xf numFmtId="0" fontId="12" fillId="0" borderId="0" xfId="64" applyFont="1" applyAlignment="1" applyProtection="1">
      <alignment horizontal="left"/>
      <protection hidden="1" locked="0"/>
    </xf>
    <xf numFmtId="0" fontId="12" fillId="0" borderId="0" xfId="64" applyFont="1" applyFill="1" applyAlignment="1" applyProtection="1">
      <alignment horizontal="center"/>
      <protection hidden="1" locked="0"/>
    </xf>
    <xf numFmtId="172" fontId="37" fillId="0" borderId="0" xfId="64" applyNumberFormat="1" applyFont="1" applyProtection="1">
      <alignment/>
      <protection hidden="1" locked="0"/>
    </xf>
    <xf numFmtId="0" fontId="38" fillId="0" borderId="0" xfId="64" applyFont="1" applyProtection="1">
      <alignment/>
      <protection hidden="1" locked="0"/>
    </xf>
    <xf numFmtId="0" fontId="3" fillId="0" borderId="16" xfId="64" applyBorder="1" applyProtection="1">
      <alignment/>
      <protection hidden="1" locked="0"/>
    </xf>
    <xf numFmtId="0" fontId="3" fillId="0" borderId="0" xfId="64" applyFont="1" applyBorder="1" applyProtection="1">
      <alignment/>
      <protection hidden="1" locked="0"/>
    </xf>
    <xf numFmtId="0" fontId="12" fillId="0" borderId="0" xfId="64" applyFont="1" applyFill="1" applyAlignment="1" applyProtection="1">
      <alignment horizontal="right"/>
      <protection hidden="1" locked="0"/>
    </xf>
    <xf numFmtId="8" fontId="12" fillId="0" borderId="0" xfId="64" applyNumberFormat="1" applyFont="1" applyFill="1" applyProtection="1">
      <alignment/>
      <protection hidden="1" locked="0"/>
    </xf>
    <xf numFmtId="0" fontId="12" fillId="0" borderId="0" xfId="64" applyFont="1" applyFill="1" applyProtection="1">
      <alignment/>
      <protection hidden="1" locked="0"/>
    </xf>
    <xf numFmtId="0" fontId="3" fillId="0" borderId="18" xfId="64" applyBorder="1" applyProtection="1">
      <alignment/>
      <protection hidden="1" locked="0"/>
    </xf>
    <xf numFmtId="0" fontId="3" fillId="0" borderId="11" xfId="64" applyBorder="1" applyProtection="1">
      <alignment/>
      <protection hidden="1" locked="0"/>
    </xf>
    <xf numFmtId="0" fontId="3" fillId="0" borderId="11" xfId="64" applyFont="1" applyBorder="1" applyProtection="1">
      <alignment/>
      <protection hidden="1" locked="0"/>
    </xf>
    <xf numFmtId="0" fontId="16" fillId="0" borderId="0" xfId="64" applyFont="1" applyProtection="1">
      <alignment/>
      <protection hidden="1"/>
    </xf>
    <xf numFmtId="175" fontId="12" fillId="0" borderId="0" xfId="59" applyNumberFormat="1" applyFont="1" applyFill="1" applyAlignment="1" applyProtection="1">
      <alignment/>
      <protection hidden="1" locked="0"/>
    </xf>
    <xf numFmtId="166" fontId="16" fillId="0" borderId="0" xfId="69" applyNumberFormat="1" applyFont="1" applyAlignment="1" applyProtection="1">
      <alignment/>
      <protection hidden="1"/>
    </xf>
    <xf numFmtId="166" fontId="16" fillId="0" borderId="0" xfId="64" applyNumberFormat="1" applyFont="1" applyProtection="1">
      <alignment/>
      <protection hidden="1"/>
    </xf>
    <xf numFmtId="176" fontId="19" fillId="0" borderId="0" xfId="64" applyNumberFormat="1" applyFont="1" applyFill="1" applyProtection="1">
      <alignment/>
      <protection hidden="1" locked="0"/>
    </xf>
    <xf numFmtId="176" fontId="12" fillId="0" borderId="0" xfId="64" applyNumberFormat="1" applyFont="1" applyFill="1" applyProtection="1">
      <alignment/>
      <protection hidden="1" locked="0"/>
    </xf>
    <xf numFmtId="172" fontId="16" fillId="0" borderId="0" xfId="64" applyNumberFormat="1" applyFont="1" applyProtection="1">
      <alignment/>
      <protection hidden="1"/>
    </xf>
    <xf numFmtId="0" fontId="20" fillId="0" borderId="13" xfId="47" applyFont="1" applyBorder="1" applyProtection="1">
      <alignment/>
      <protection hidden="1" locked="0"/>
    </xf>
    <xf numFmtId="0" fontId="24" fillId="0" borderId="0" xfId="64" applyFont="1" applyProtection="1">
      <alignment/>
      <protection hidden="1"/>
    </xf>
    <xf numFmtId="166" fontId="20" fillId="0" borderId="17" xfId="69" applyNumberFormat="1" applyFont="1" applyBorder="1" applyAlignment="1" applyProtection="1">
      <alignment/>
      <protection hidden="1" locked="0"/>
    </xf>
    <xf numFmtId="0" fontId="3" fillId="0" borderId="13" xfId="64" applyBorder="1" applyProtection="1">
      <alignment/>
      <protection hidden="1" locked="0"/>
    </xf>
    <xf numFmtId="0" fontId="3" fillId="0" borderId="14" xfId="64" applyBorder="1" applyProtection="1">
      <alignment/>
      <protection hidden="1" locked="0"/>
    </xf>
    <xf numFmtId="0" fontId="20" fillId="0" borderId="14" xfId="64" applyFont="1" applyFill="1" applyBorder="1" applyAlignment="1" applyProtection="1">
      <alignment/>
      <protection hidden="1" locked="0"/>
    </xf>
    <xf numFmtId="0" fontId="25" fillId="36" borderId="10" xfId="47" applyFont="1" applyFill="1" applyBorder="1" applyAlignment="1" applyProtection="1">
      <alignment horizontal="center" vertical="center"/>
      <protection hidden="1"/>
    </xf>
    <xf numFmtId="0" fontId="25" fillId="36" borderId="10" xfId="47" applyFont="1" applyFill="1" applyBorder="1" applyAlignment="1" applyProtection="1">
      <alignment horizontal="justify" vertical="center"/>
      <protection hidden="1"/>
    </xf>
    <xf numFmtId="166" fontId="20" fillId="0" borderId="16" xfId="69" applyNumberFormat="1" applyFont="1" applyBorder="1" applyAlignment="1" applyProtection="1">
      <alignment/>
      <protection hidden="1" locked="0"/>
    </xf>
    <xf numFmtId="0" fontId="20" fillId="0" borderId="0" xfId="64" applyFont="1" applyFill="1" applyBorder="1" applyProtection="1">
      <alignment/>
      <protection hidden="1" locked="0"/>
    </xf>
    <xf numFmtId="0" fontId="20" fillId="0" borderId="0" xfId="64" applyFont="1" applyFill="1" applyBorder="1" applyAlignment="1" applyProtection="1">
      <alignment horizontal="right"/>
      <protection hidden="1" locked="0"/>
    </xf>
    <xf numFmtId="167" fontId="20" fillId="0" borderId="0" xfId="59" applyNumberFormat="1" applyFont="1" applyFill="1" applyBorder="1" applyAlignment="1" applyProtection="1">
      <alignment horizontal="right"/>
      <protection hidden="1" locked="0"/>
    </xf>
    <xf numFmtId="172" fontId="20" fillId="0" borderId="0" xfId="61" applyNumberFormat="1" applyFont="1" applyFill="1" applyBorder="1" applyAlignment="1" applyProtection="1">
      <alignment/>
      <protection hidden="1" locked="0"/>
    </xf>
    <xf numFmtId="44" fontId="3" fillId="0" borderId="17" xfId="64" applyNumberFormat="1" applyBorder="1" applyProtection="1">
      <alignment/>
      <protection hidden="1" locked="0"/>
    </xf>
    <xf numFmtId="0" fontId="6" fillId="0" borderId="10" xfId="47" applyFont="1" applyFill="1" applyBorder="1" applyAlignment="1" applyProtection="1">
      <alignment horizontal="center"/>
      <protection hidden="1"/>
    </xf>
    <xf numFmtId="176" fontId="6" fillId="0" borderId="10" xfId="47" applyNumberFormat="1" applyFont="1" applyFill="1" applyBorder="1" applyAlignment="1" applyProtection="1">
      <alignment horizontal="center"/>
      <protection hidden="1"/>
    </xf>
    <xf numFmtId="176" fontId="39" fillId="0" borderId="10" xfId="47" applyNumberFormat="1" applyFont="1" applyFill="1" applyBorder="1" applyAlignment="1" applyProtection="1">
      <alignment horizontal="center"/>
      <protection hidden="1"/>
    </xf>
    <xf numFmtId="176" fontId="6" fillId="0" borderId="10" xfId="47" applyNumberFormat="1" applyFont="1" applyFill="1" applyBorder="1" applyAlignment="1" applyProtection="1">
      <alignment/>
      <protection hidden="1"/>
    </xf>
    <xf numFmtId="176" fontId="34" fillId="33" borderId="10" xfId="47" applyNumberFormat="1" applyFont="1" applyFill="1" applyBorder="1" applyAlignment="1" applyProtection="1">
      <alignment horizontal="center"/>
      <protection hidden="1"/>
    </xf>
    <xf numFmtId="0" fontId="6" fillId="0" borderId="10" xfId="64" applyFont="1" applyBorder="1" applyProtection="1">
      <alignment/>
      <protection hidden="1"/>
    </xf>
    <xf numFmtId="0" fontId="24" fillId="0" borderId="0" xfId="64" applyFont="1" applyBorder="1" applyProtection="1">
      <alignment/>
      <protection hidden="1"/>
    </xf>
    <xf numFmtId="0" fontId="3" fillId="37" borderId="16" xfId="64" applyFont="1" applyFill="1" applyBorder="1" applyProtection="1">
      <alignment/>
      <protection hidden="1" locked="0"/>
    </xf>
    <xf numFmtId="0" fontId="3" fillId="37" borderId="0" xfId="64" applyFill="1" applyBorder="1" applyProtection="1">
      <alignment/>
      <protection hidden="1" locked="0"/>
    </xf>
    <xf numFmtId="172" fontId="3" fillId="0" borderId="0" xfId="64" applyNumberFormat="1" applyBorder="1" applyProtection="1">
      <alignment/>
      <protection hidden="1" locked="0"/>
    </xf>
    <xf numFmtId="164" fontId="20" fillId="0" borderId="0" xfId="58" applyFont="1" applyFill="1" applyBorder="1" applyAlignment="1" applyProtection="1">
      <alignment/>
      <protection hidden="1" locked="0"/>
    </xf>
    <xf numFmtId="172" fontId="20" fillId="0" borderId="0" xfId="61" applyNumberFormat="1" applyFont="1" applyFill="1" applyBorder="1" applyAlignment="1" applyProtection="1">
      <alignment horizontal="right"/>
      <protection hidden="1" locked="0"/>
    </xf>
    <xf numFmtId="176" fontId="40" fillId="0" borderId="10" xfId="47" applyNumberFormat="1" applyFont="1" applyFill="1" applyBorder="1" applyAlignment="1" applyProtection="1">
      <alignment horizontal="center"/>
      <protection hidden="1"/>
    </xf>
    <xf numFmtId="176" fontId="34" fillId="33" borderId="10" xfId="47" applyNumberFormat="1" applyFont="1" applyFill="1" applyBorder="1" applyAlignment="1" applyProtection="1">
      <alignment horizontal="center"/>
      <protection hidden="1" locked="0"/>
    </xf>
    <xf numFmtId="167" fontId="6" fillId="0" borderId="10" xfId="64" applyNumberFormat="1" applyFont="1" applyBorder="1" applyProtection="1">
      <alignment/>
      <protection hidden="1"/>
    </xf>
    <xf numFmtId="8" fontId="6" fillId="0" borderId="10" xfId="64" applyNumberFormat="1" applyFont="1" applyBorder="1" applyProtection="1">
      <alignment/>
      <protection hidden="1"/>
    </xf>
    <xf numFmtId="176" fontId="24" fillId="0" borderId="0" xfId="47" applyNumberFormat="1" applyFont="1" applyFill="1" applyBorder="1" applyAlignment="1" applyProtection="1">
      <alignment horizontal="center"/>
      <protection hidden="1"/>
    </xf>
    <xf numFmtId="10" fontId="6" fillId="0" borderId="10" xfId="69" applyNumberFormat="1" applyFont="1" applyBorder="1" applyAlignment="1" applyProtection="1">
      <alignment horizontal="center"/>
      <protection hidden="1"/>
    </xf>
    <xf numFmtId="171" fontId="3" fillId="0" borderId="0" xfId="64" applyNumberFormat="1" applyProtection="1">
      <alignment/>
      <protection hidden="1"/>
    </xf>
    <xf numFmtId="165" fontId="3" fillId="0" borderId="0" xfId="64" applyNumberFormat="1" applyBorder="1" applyProtection="1">
      <alignment/>
      <protection hidden="1" locked="0"/>
    </xf>
    <xf numFmtId="166" fontId="20" fillId="0" borderId="0" xfId="64" applyNumberFormat="1" applyFont="1" applyFill="1" applyBorder="1" applyAlignment="1" applyProtection="1">
      <alignment horizontal="center"/>
      <protection hidden="1" locked="0"/>
    </xf>
    <xf numFmtId="44" fontId="20" fillId="0" borderId="0" xfId="61" applyFont="1" applyFill="1" applyBorder="1" applyAlignment="1" applyProtection="1">
      <alignment/>
      <protection hidden="1" locked="0"/>
    </xf>
    <xf numFmtId="2" fontId="3" fillId="0" borderId="17" xfId="64" applyNumberFormat="1" applyBorder="1" applyProtection="1">
      <alignment/>
      <protection hidden="1" locked="0"/>
    </xf>
    <xf numFmtId="43" fontId="20" fillId="0" borderId="0" xfId="64" applyNumberFormat="1" applyFont="1" applyFill="1" applyBorder="1" applyProtection="1">
      <alignment/>
      <protection hidden="1" locked="0"/>
    </xf>
    <xf numFmtId="165" fontId="3" fillId="37" borderId="0" xfId="58" applyNumberFormat="1" applyFont="1" applyFill="1" applyBorder="1" applyAlignment="1" applyProtection="1">
      <alignment/>
      <protection hidden="1" locked="0"/>
    </xf>
    <xf numFmtId="0" fontId="15" fillId="0" borderId="0" xfId="64" applyFont="1" applyBorder="1" applyProtection="1">
      <alignment/>
      <protection hidden="1" locked="0"/>
    </xf>
    <xf numFmtId="167" fontId="3" fillId="0" borderId="11" xfId="64" applyNumberFormat="1" applyBorder="1" applyProtection="1">
      <alignment/>
      <protection hidden="1" locked="0"/>
    </xf>
    <xf numFmtId="0" fontId="14" fillId="0" borderId="11" xfId="64" applyFont="1" applyBorder="1" applyAlignment="1" applyProtection="1">
      <alignment horizontal="right"/>
      <protection hidden="1" locked="0"/>
    </xf>
    <xf numFmtId="172" fontId="14" fillId="0" borderId="11" xfId="64" applyNumberFormat="1" applyFont="1" applyBorder="1" applyProtection="1">
      <alignment/>
      <protection hidden="1" locked="0"/>
    </xf>
    <xf numFmtId="0" fontId="3" fillId="0" borderId="10" xfId="64" applyBorder="1" applyProtection="1">
      <alignment/>
      <protection hidden="1"/>
    </xf>
    <xf numFmtId="8" fontId="3" fillId="0" borderId="10" xfId="64" applyNumberFormat="1" applyBorder="1" applyProtection="1">
      <alignment/>
      <protection hidden="1"/>
    </xf>
    <xf numFmtId="0" fontId="3" fillId="0" borderId="0" xfId="64" applyBorder="1" applyProtection="1">
      <alignment/>
      <protection hidden="1"/>
    </xf>
    <xf numFmtId="0" fontId="95" fillId="0" borderId="12" xfId="64" applyFont="1" applyFill="1" applyBorder="1" applyAlignment="1" applyProtection="1">
      <alignment horizontal="left"/>
      <protection hidden="1"/>
    </xf>
    <xf numFmtId="0" fontId="90" fillId="0" borderId="12" xfId="47" applyFont="1" applyFill="1" applyBorder="1" applyProtection="1">
      <alignment/>
      <protection hidden="1"/>
    </xf>
    <xf numFmtId="0" fontId="95" fillId="0" borderId="0" xfId="47" applyFont="1" applyFill="1" applyBorder="1" applyAlignment="1" applyProtection="1">
      <alignment horizontal="center"/>
      <protection hidden="1"/>
    </xf>
    <xf numFmtId="0" fontId="96" fillId="0" borderId="0" xfId="47" applyFont="1" applyProtection="1">
      <alignment/>
      <protection hidden="1"/>
    </xf>
    <xf numFmtId="0" fontId="95" fillId="0" borderId="0" xfId="47" applyFont="1" applyFill="1" applyAlignment="1" applyProtection="1">
      <alignment horizontal="left"/>
      <protection hidden="1"/>
    </xf>
    <xf numFmtId="166" fontId="95" fillId="0" borderId="0" xfId="69" applyNumberFormat="1" applyFont="1" applyAlignment="1" applyProtection="1">
      <alignment/>
      <protection hidden="1"/>
    </xf>
    <xf numFmtId="166" fontId="95" fillId="0" borderId="21" xfId="69" applyNumberFormat="1" applyFont="1" applyBorder="1" applyAlignment="1" applyProtection="1">
      <alignment/>
      <protection hidden="1"/>
    </xf>
    <xf numFmtId="0" fontId="90" fillId="0" borderId="0" xfId="47" applyFont="1" applyFill="1" applyAlignment="1" applyProtection="1">
      <alignment horizontal="left"/>
      <protection hidden="1"/>
    </xf>
    <xf numFmtId="172" fontId="90" fillId="38" borderId="0" xfId="64" applyNumberFormat="1" applyFont="1" applyFill="1" applyProtection="1">
      <alignment/>
      <protection hidden="1"/>
    </xf>
    <xf numFmtId="0" fontId="95" fillId="0" borderId="0" xfId="47" applyFont="1" applyProtection="1">
      <alignment/>
      <protection hidden="1" locked="0"/>
    </xf>
    <xf numFmtId="0" fontId="6" fillId="39" borderId="0" xfId="47" applyFont="1" applyFill="1" applyProtection="1">
      <alignment/>
      <protection hidden="1"/>
    </xf>
    <xf numFmtId="0" fontId="90" fillId="39" borderId="0" xfId="47" applyFont="1" applyFill="1" applyAlignment="1" applyProtection="1">
      <alignment horizontal="left"/>
      <protection hidden="1"/>
    </xf>
    <xf numFmtId="172" fontId="90" fillId="39" borderId="0" xfId="61" applyNumberFormat="1" applyFont="1" applyFill="1" applyAlignment="1" applyProtection="1">
      <alignment horizontal="right"/>
      <protection hidden="1" locked="0"/>
    </xf>
    <xf numFmtId="0" fontId="96" fillId="39" borderId="0" xfId="47" applyFont="1" applyFill="1" applyProtection="1">
      <alignment/>
      <protection hidden="1"/>
    </xf>
    <xf numFmtId="165" fontId="90" fillId="39" borderId="0" xfId="58" applyNumberFormat="1" applyFont="1" applyFill="1" applyAlignment="1" applyProtection="1">
      <alignment/>
      <protection hidden="1"/>
    </xf>
    <xf numFmtId="0" fontId="90" fillId="0" borderId="0" xfId="64" applyFont="1" applyProtection="1">
      <alignment/>
      <protection hidden="1"/>
    </xf>
    <xf numFmtId="171" fontId="90" fillId="0" borderId="0" xfId="60" applyNumberFormat="1" applyFont="1" applyAlignment="1" applyProtection="1">
      <alignment/>
      <protection hidden="1"/>
    </xf>
    <xf numFmtId="0" fontId="90" fillId="0" borderId="0" xfId="64" applyFont="1" applyAlignment="1" applyProtection="1">
      <alignment horizontal="justify" vertical="center"/>
      <protection hidden="1"/>
    </xf>
    <xf numFmtId="0" fontId="90" fillId="0" borderId="0" xfId="47" applyFont="1" applyProtection="1">
      <alignment/>
      <protection hidden="1"/>
    </xf>
    <xf numFmtId="0" fontId="90" fillId="0" borderId="0" xfId="64" applyFont="1" applyAlignment="1" applyProtection="1">
      <alignment horizontal="left"/>
      <protection hidden="1"/>
    </xf>
    <xf numFmtId="6" fontId="90" fillId="0" borderId="0" xfId="47" applyNumberFormat="1" applyFont="1" applyProtection="1">
      <alignment/>
      <protection hidden="1"/>
    </xf>
    <xf numFmtId="9" fontId="90" fillId="0" borderId="0" xfId="69" applyNumberFormat="1" applyFont="1" applyAlignment="1" applyProtection="1">
      <alignment/>
      <protection hidden="1"/>
    </xf>
    <xf numFmtId="172" fontId="97" fillId="0" borderId="0" xfId="64" applyNumberFormat="1" applyFont="1" applyProtection="1">
      <alignment/>
      <protection hidden="1"/>
    </xf>
    <xf numFmtId="165" fontId="90" fillId="0" borderId="0" xfId="64" applyNumberFormat="1" applyFont="1" applyFill="1" applyProtection="1">
      <alignment/>
      <protection hidden="1"/>
    </xf>
    <xf numFmtId="0" fontId="90" fillId="0" borderId="0" xfId="64" applyFont="1" applyFill="1" applyProtection="1">
      <alignment/>
      <protection hidden="1"/>
    </xf>
    <xf numFmtId="0" fontId="90" fillId="0" borderId="0" xfId="64" applyFont="1" applyFill="1" applyAlignment="1" applyProtection="1">
      <alignment horizontal="left"/>
      <protection hidden="1"/>
    </xf>
    <xf numFmtId="6" fontId="90" fillId="0" borderId="0" xfId="64" applyNumberFormat="1" applyFont="1" applyFill="1" applyProtection="1">
      <alignment/>
      <protection hidden="1"/>
    </xf>
    <xf numFmtId="0" fontId="95" fillId="0" borderId="0" xfId="64" applyFont="1" applyFill="1" applyAlignment="1" applyProtection="1">
      <alignment horizontal="right"/>
      <protection hidden="1" locked="0"/>
    </xf>
    <xf numFmtId="10" fontId="90" fillId="0" borderId="0" xfId="69" applyNumberFormat="1" applyFont="1" applyFill="1" applyAlignment="1" applyProtection="1">
      <alignment/>
      <protection hidden="1" locked="0"/>
    </xf>
    <xf numFmtId="0" fontId="95" fillId="0" borderId="0" xfId="64" applyFont="1" applyFill="1" applyAlignment="1" applyProtection="1">
      <alignment horizontal="center"/>
      <protection hidden="1" locked="0"/>
    </xf>
    <xf numFmtId="166" fontId="95" fillId="0" borderId="0" xfId="69" applyNumberFormat="1" applyFont="1" applyFill="1" applyBorder="1" applyAlignment="1" applyProtection="1">
      <alignment/>
      <protection hidden="1" locked="0"/>
    </xf>
    <xf numFmtId="10" fontId="90" fillId="0" borderId="0" xfId="64" applyNumberFormat="1" applyFont="1" applyFill="1" applyProtection="1">
      <alignment/>
      <protection hidden="1" locked="0"/>
    </xf>
    <xf numFmtId="0" fontId="95" fillId="0" borderId="0" xfId="64" applyFont="1" applyFill="1" applyProtection="1">
      <alignment/>
      <protection hidden="1" locked="0"/>
    </xf>
    <xf numFmtId="43" fontId="90" fillId="0" borderId="0" xfId="64" applyNumberFormat="1" applyFont="1" applyFill="1" applyProtection="1">
      <alignment/>
      <protection hidden="1" locked="0"/>
    </xf>
    <xf numFmtId="176" fontId="90" fillId="0" borderId="0" xfId="64" applyNumberFormat="1" applyFont="1" applyFill="1" applyProtection="1">
      <alignment/>
      <protection hidden="1" locked="0"/>
    </xf>
    <xf numFmtId="0" fontId="62" fillId="0" borderId="0" xfId="0" applyFont="1" applyAlignment="1" applyProtection="1">
      <alignment horizontal="right" wrapText="1"/>
      <protection hidden="1"/>
    </xf>
    <xf numFmtId="0" fontId="98" fillId="0" borderId="0" xfId="0" applyFont="1" applyAlignment="1">
      <alignment vertical="center"/>
    </xf>
    <xf numFmtId="0" fontId="62" fillId="0" borderId="0" xfId="0" applyFont="1" applyAlignment="1">
      <alignment vertical="center"/>
    </xf>
    <xf numFmtId="0" fontId="99" fillId="0" borderId="0" xfId="47" applyFont="1" applyProtection="1">
      <alignment/>
      <protection hidden="1"/>
    </xf>
    <xf numFmtId="0" fontId="100" fillId="0" borderId="0" xfId="65" applyFont="1" applyFill="1" applyBorder="1" applyProtection="1">
      <alignment/>
      <protection hidden="1"/>
    </xf>
    <xf numFmtId="172" fontId="3" fillId="39" borderId="0" xfId="61" applyNumberFormat="1" applyFont="1" applyFill="1" applyAlignment="1" applyProtection="1">
      <alignment horizontal="right"/>
      <protection hidden="1"/>
    </xf>
    <xf numFmtId="10" fontId="3" fillId="39" borderId="0" xfId="64" applyNumberFormat="1" applyFont="1" applyFill="1" applyProtection="1">
      <alignment/>
      <protection hidden="1"/>
    </xf>
    <xf numFmtId="171" fontId="3" fillId="39" borderId="0" xfId="60" applyNumberFormat="1" applyFont="1" applyFill="1" applyAlignment="1" applyProtection="1">
      <alignment/>
      <protection hidden="1"/>
    </xf>
    <xf numFmtId="171" fontId="14" fillId="39" borderId="0" xfId="60" applyNumberFormat="1" applyFont="1" applyFill="1" applyAlignment="1" applyProtection="1">
      <alignment/>
      <protection hidden="1"/>
    </xf>
    <xf numFmtId="6" fontId="3" fillId="39" borderId="0" xfId="64" applyNumberFormat="1" applyFont="1" applyFill="1" applyProtection="1">
      <alignment/>
      <protection hidden="1"/>
    </xf>
    <xf numFmtId="6" fontId="90" fillId="39" borderId="0" xfId="64" applyNumberFormat="1" applyFont="1" applyFill="1" applyProtection="1">
      <alignment/>
      <protection hidden="1"/>
    </xf>
    <xf numFmtId="0" fontId="101" fillId="0" borderId="0" xfId="64" applyFont="1" applyProtection="1">
      <alignment/>
      <protection hidden="1"/>
    </xf>
    <xf numFmtId="172" fontId="90" fillId="40" borderId="0" xfId="64" applyNumberFormat="1" applyFont="1" applyFill="1" applyProtection="1">
      <alignment/>
      <protection hidden="1"/>
    </xf>
    <xf numFmtId="0" fontId="12" fillId="40" borderId="0" xfId="47" applyFont="1" applyFill="1" applyAlignment="1" applyProtection="1">
      <alignment horizontal="left"/>
      <protection hidden="1"/>
    </xf>
    <xf numFmtId="0" fontId="24" fillId="40" borderId="0" xfId="47" applyFont="1" applyFill="1" applyProtection="1">
      <alignment/>
      <protection hidden="1"/>
    </xf>
    <xf numFmtId="1" fontId="3" fillId="39" borderId="0" xfId="64" applyNumberFormat="1" applyFont="1" applyFill="1" applyProtection="1">
      <alignment/>
      <protection hidden="1" locked="0"/>
    </xf>
    <xf numFmtId="1" fontId="96" fillId="0" borderId="0" xfId="47" applyNumberFormat="1" applyFont="1" applyProtection="1">
      <alignment/>
      <protection hidden="1"/>
    </xf>
    <xf numFmtId="0" fontId="96" fillId="0" borderId="0" xfId="47" applyFont="1" applyProtection="1">
      <alignment/>
      <protection hidden="1" locked="0"/>
    </xf>
    <xf numFmtId="0" fontId="102" fillId="0" borderId="0" xfId="0" applyFont="1" applyAlignment="1" applyProtection="1">
      <alignment horizontal="left" wrapText="1"/>
      <protection hidden="1"/>
    </xf>
    <xf numFmtId="178" fontId="3" fillId="0" borderId="0" xfId="64" applyNumberFormat="1" applyAlignment="1" applyProtection="1">
      <alignment horizontal="center" vertical="center"/>
      <protection hidden="1"/>
    </xf>
    <xf numFmtId="0" fontId="103" fillId="0" borderId="0" xfId="0" applyFont="1" applyAlignment="1" applyProtection="1">
      <alignment horizontal="left" wrapText="1"/>
      <protection hidden="1"/>
    </xf>
    <xf numFmtId="6" fontId="0" fillId="0" borderId="0" xfId="0" applyNumberFormat="1" applyBorder="1" applyAlignment="1" applyProtection="1">
      <alignment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protection hidden="1"/>
    </xf>
    <xf numFmtId="0" fontId="0" fillId="39" borderId="0" xfId="0" applyFill="1" applyAlignment="1" applyProtection="1">
      <alignment vertical="center" wrapText="1"/>
      <protection hidden="1"/>
    </xf>
    <xf numFmtId="0" fontId="2" fillId="0" borderId="0" xfId="0" applyFont="1" applyAlignment="1" applyProtection="1">
      <alignment horizontal="left" vertical="center" wrapText="1"/>
      <protection hidden="1"/>
    </xf>
    <xf numFmtId="0" fontId="0" fillId="0" borderId="0" xfId="0" applyAlignment="1" applyProtection="1">
      <alignment horizontal="right" vertical="center" wrapText="1"/>
      <protection hidden="1"/>
    </xf>
    <xf numFmtId="0" fontId="13" fillId="36" borderId="0" xfId="63" applyFont="1" applyFill="1" applyAlignment="1" applyProtection="1">
      <alignment/>
      <protection hidden="1"/>
    </xf>
    <xf numFmtId="0" fontId="13" fillId="0" borderId="0" xfId="63" applyFont="1" applyFill="1" applyAlignment="1" applyProtection="1">
      <alignment/>
      <protection hidden="1"/>
    </xf>
    <xf numFmtId="167" fontId="0" fillId="0" borderId="22" xfId="43" applyNumberFormat="1" applyFont="1" applyBorder="1" applyAlignment="1" applyProtection="1">
      <alignment horizontal="justify" vertical="center" wrapText="1"/>
      <protection hidden="1"/>
    </xf>
    <xf numFmtId="167" fontId="0" fillId="0" borderId="23" xfId="43" applyNumberFormat="1" applyFont="1" applyBorder="1" applyAlignment="1" applyProtection="1">
      <alignment horizontal="justify" vertical="center" wrapText="1"/>
      <protection hidden="1"/>
    </xf>
    <xf numFmtId="167" fontId="0" fillId="0" borderId="24" xfId="43" applyNumberFormat="1" applyFont="1" applyBorder="1" applyAlignment="1" applyProtection="1">
      <alignment horizontal="justify" vertical="center" wrapText="1"/>
      <protection hidden="1"/>
    </xf>
    <xf numFmtId="1" fontId="0" fillId="39" borderId="13" xfId="0" applyNumberFormat="1" applyFill="1" applyBorder="1" applyAlignment="1" applyProtection="1">
      <alignment wrapText="1"/>
      <protection hidden="1"/>
    </xf>
    <xf numFmtId="0" fontId="0" fillId="39" borderId="15" xfId="0" applyFill="1" applyBorder="1" applyAlignment="1" applyProtection="1">
      <alignment wrapText="1"/>
      <protection hidden="1"/>
    </xf>
    <xf numFmtId="1" fontId="0" fillId="39" borderId="16" xfId="0" applyNumberFormat="1" applyFill="1" applyBorder="1" applyAlignment="1" applyProtection="1">
      <alignment wrapText="1"/>
      <protection hidden="1"/>
    </xf>
    <xf numFmtId="0" fontId="0" fillId="39" borderId="17" xfId="0" applyFill="1" applyBorder="1" applyAlignment="1" applyProtection="1">
      <alignment wrapText="1"/>
      <protection hidden="1"/>
    </xf>
    <xf numFmtId="0" fontId="0" fillId="0" borderId="16" xfId="0" applyBorder="1" applyAlignment="1" applyProtection="1">
      <alignment wrapText="1"/>
      <protection hidden="1"/>
    </xf>
    <xf numFmtId="0" fontId="0" fillId="0" borderId="17" xfId="0" applyBorder="1" applyAlignment="1" applyProtection="1">
      <alignment wrapText="1"/>
      <protection hidden="1"/>
    </xf>
    <xf numFmtId="0" fontId="0" fillId="0" borderId="18" xfId="0" applyBorder="1" applyAlignment="1" applyProtection="1">
      <alignment wrapText="1"/>
      <protection hidden="1"/>
    </xf>
    <xf numFmtId="0" fontId="0" fillId="0" borderId="19" xfId="0" applyBorder="1" applyAlignment="1" applyProtection="1">
      <alignment wrapText="1"/>
      <protection hidden="1"/>
    </xf>
    <xf numFmtId="0" fontId="0" fillId="39" borderId="14" xfId="0" applyFill="1" applyBorder="1" applyAlignment="1" applyProtection="1">
      <alignment wrapText="1"/>
      <protection hidden="1"/>
    </xf>
    <xf numFmtId="0" fontId="0" fillId="39" borderId="0" xfId="0" applyFill="1" applyBorder="1" applyAlignment="1" applyProtection="1">
      <alignment wrapText="1"/>
      <protection hidden="1"/>
    </xf>
    <xf numFmtId="0" fontId="0" fillId="0" borderId="0" xfId="0" applyBorder="1" applyAlignment="1" applyProtection="1">
      <alignment wrapText="1"/>
      <protection hidden="1"/>
    </xf>
    <xf numFmtId="0" fontId="0" fillId="0" borderId="11" xfId="0" applyBorder="1" applyAlignment="1" applyProtection="1">
      <alignment wrapText="1"/>
      <protection hidden="1"/>
    </xf>
    <xf numFmtId="1" fontId="0" fillId="39" borderId="0" xfId="0" applyNumberFormat="1" applyFill="1" applyBorder="1" applyAlignment="1" applyProtection="1">
      <alignment wrapText="1"/>
      <protection hidden="1"/>
    </xf>
    <xf numFmtId="0" fontId="0" fillId="39" borderId="13" xfId="0" applyFill="1" applyBorder="1" applyAlignment="1" applyProtection="1">
      <alignment wrapText="1"/>
      <protection hidden="1"/>
    </xf>
    <xf numFmtId="165" fontId="3" fillId="14" borderId="10" xfId="43" applyNumberFormat="1" applyFont="1" applyFill="1" applyBorder="1" applyAlignment="1" applyProtection="1">
      <alignment vertical="center" wrapText="1"/>
      <protection hidden="1" locked="0"/>
    </xf>
    <xf numFmtId="10" fontId="62" fillId="14" borderId="10" xfId="0" applyNumberFormat="1" applyFont="1" applyFill="1" applyBorder="1" applyAlignment="1" applyProtection="1">
      <alignment vertical="center" wrapText="1"/>
      <protection hidden="1" locked="0"/>
    </xf>
    <xf numFmtId="0" fontId="62" fillId="14" borderId="10" xfId="0" applyFont="1" applyFill="1" applyBorder="1" applyAlignment="1" applyProtection="1">
      <alignment vertical="center" wrapText="1"/>
      <protection hidden="1" locked="0"/>
    </xf>
    <xf numFmtId="6" fontId="0" fillId="39" borderId="10" xfId="0" applyNumberFormat="1" applyFill="1" applyBorder="1" applyAlignment="1" applyProtection="1">
      <alignment vertical="center" wrapText="1"/>
      <protection hidden="1"/>
    </xf>
    <xf numFmtId="0" fontId="7" fillId="33" borderId="22" xfId="63" applyFont="1" applyFill="1" applyBorder="1" applyAlignment="1" applyProtection="1">
      <alignment horizontal="center"/>
      <protection hidden="1" locked="0"/>
    </xf>
    <xf numFmtId="0" fontId="7" fillId="33" borderId="24" xfId="63" applyFont="1" applyFill="1" applyBorder="1" applyAlignment="1" applyProtection="1">
      <alignment horizontal="center"/>
      <protection hidden="1" locked="0"/>
    </xf>
    <xf numFmtId="0" fontId="7" fillId="33" borderId="23" xfId="63" applyFont="1" applyFill="1" applyBorder="1" applyAlignment="1" applyProtection="1">
      <alignment horizontal="center"/>
      <protection hidden="1" locked="0"/>
    </xf>
    <xf numFmtId="0" fontId="8" fillId="0" borderId="10" xfId="63" applyFont="1" applyFill="1" applyBorder="1" applyAlignment="1" applyProtection="1">
      <alignment horizontal="center"/>
      <protection hidden="1" locked="0"/>
    </xf>
    <xf numFmtId="0" fontId="33" fillId="38" borderId="0" xfId="64" applyFont="1" applyFill="1" applyBorder="1" applyAlignment="1" applyProtection="1">
      <alignment horizontal="center"/>
      <protection hidden="1" locked="0"/>
    </xf>
    <xf numFmtId="0" fontId="35" fillId="0" borderId="0" xfId="63" applyFont="1" applyAlignment="1" applyProtection="1">
      <alignment horizontal="left"/>
      <protection hidden="1"/>
    </xf>
    <xf numFmtId="0" fontId="35" fillId="0" borderId="0" xfId="63" applyFont="1" applyAlignment="1" applyProtection="1">
      <alignment horizontal="justify" vertical="center" wrapText="1"/>
      <protection hidden="1"/>
    </xf>
    <xf numFmtId="0" fontId="35" fillId="0" borderId="0" xfId="63" applyFont="1" applyAlignment="1" applyProtection="1">
      <alignment horizontal="justify" vertical="center"/>
      <protection hidden="1"/>
    </xf>
    <xf numFmtId="0" fontId="25" fillId="36" borderId="22" xfId="47" applyFont="1" applyFill="1" applyBorder="1" applyAlignment="1" applyProtection="1">
      <alignment horizontal="center"/>
      <protection hidden="1"/>
    </xf>
    <xf numFmtId="0" fontId="25" fillId="36" borderId="24" xfId="47" applyFont="1" applyFill="1" applyBorder="1" applyAlignment="1" applyProtection="1">
      <alignment horizontal="center"/>
      <protection hidden="1"/>
    </xf>
    <xf numFmtId="0" fontId="25" fillId="36" borderId="23" xfId="47" applyFont="1" applyFill="1" applyBorder="1" applyAlignment="1" applyProtection="1">
      <alignment horizontal="center"/>
      <protection hidden="1"/>
    </xf>
    <xf numFmtId="0" fontId="25" fillId="36" borderId="25" xfId="47" applyFont="1" applyFill="1" applyBorder="1" applyAlignment="1" applyProtection="1">
      <alignment horizontal="center" vertical="center"/>
      <protection hidden="1"/>
    </xf>
    <xf numFmtId="0" fontId="25" fillId="36" borderId="26" xfId="47" applyFont="1" applyFill="1" applyBorder="1" applyAlignment="1" applyProtection="1">
      <alignment horizontal="center" vertical="center"/>
      <protection hidden="1"/>
    </xf>
    <xf numFmtId="0" fontId="13" fillId="36" borderId="0" xfId="63" applyFont="1" applyFill="1" applyAlignment="1" applyProtection="1">
      <alignment horizontal="center"/>
      <protection hidden="1"/>
    </xf>
    <xf numFmtId="1" fontId="76" fillId="41" borderId="0" xfId="0" applyNumberFormat="1" applyFont="1" applyFill="1" applyAlignment="1" applyProtection="1">
      <alignment horizontal="center" vertical="center" wrapText="1"/>
      <protection hidden="1"/>
    </xf>
    <xf numFmtId="0" fontId="0" fillId="0" borderId="0" xfId="0" applyAlignment="1" applyProtection="1">
      <alignment horizontal="left" wrapText="1"/>
      <protection hidden="1"/>
    </xf>
    <xf numFmtId="10" fontId="0" fillId="0" borderId="27" xfId="68" applyNumberFormat="1" applyFont="1" applyBorder="1" applyAlignment="1" applyProtection="1">
      <alignment horizontal="center" wrapText="1"/>
      <protection hidden="1"/>
    </xf>
    <xf numFmtId="10" fontId="0" fillId="0" borderId="28" xfId="68" applyNumberFormat="1" applyFont="1" applyBorder="1" applyAlignment="1" applyProtection="1">
      <alignment horizontal="center" wrapText="1"/>
      <protection hidden="1"/>
    </xf>
    <xf numFmtId="0" fontId="62" fillId="0" borderId="0" xfId="0" applyFont="1" applyAlignment="1" applyProtection="1">
      <alignment horizontal="left" wrapText="1"/>
      <protection hidden="1"/>
    </xf>
    <xf numFmtId="6" fontId="0" fillId="0" borderId="27" xfId="0" applyNumberFormat="1" applyBorder="1" applyAlignment="1" applyProtection="1">
      <alignment horizontal="center" wrapText="1"/>
      <protection hidden="1"/>
    </xf>
    <xf numFmtId="6" fontId="0" fillId="0" borderId="29" xfId="0" applyNumberFormat="1" applyBorder="1" applyAlignment="1" applyProtection="1">
      <alignment horizontal="center" wrapText="1"/>
      <protection hidden="1"/>
    </xf>
    <xf numFmtId="6" fontId="0" fillId="0" borderId="28" xfId="0" applyNumberFormat="1" applyBorder="1" applyAlignment="1" applyProtection="1">
      <alignment horizontal="center" wrapText="1"/>
      <protection hidden="1"/>
    </xf>
    <xf numFmtId="6" fontId="76" fillId="42" borderId="27" xfId="0" applyNumberFormat="1" applyFont="1" applyFill="1" applyBorder="1" applyAlignment="1" applyProtection="1">
      <alignment horizontal="center" wrapText="1"/>
      <protection hidden="1"/>
    </xf>
    <xf numFmtId="6" fontId="76" fillId="42" borderId="29" xfId="0" applyNumberFormat="1" applyFont="1" applyFill="1" applyBorder="1" applyAlignment="1" applyProtection="1">
      <alignment horizontal="center" wrapText="1"/>
      <protection hidden="1"/>
    </xf>
    <xf numFmtId="0" fontId="104" fillId="0" borderId="0" xfId="0" applyFont="1" applyAlignment="1" applyProtection="1">
      <alignment horizontal="right" wrapText="1"/>
      <protection hidden="1"/>
    </xf>
    <xf numFmtId="6" fontId="0" fillId="0" borderId="30" xfId="0" applyNumberFormat="1" applyBorder="1" applyAlignment="1" applyProtection="1">
      <alignment horizontal="center" wrapText="1"/>
      <protection hidden="1"/>
    </xf>
    <xf numFmtId="0" fontId="58" fillId="0" borderId="0" xfId="0" applyFont="1" applyAlignment="1" applyProtection="1">
      <alignment horizontal="left" vertical="center" wrapText="1"/>
      <protection hidden="1"/>
    </xf>
    <xf numFmtId="0" fontId="94" fillId="0" borderId="0" xfId="0" applyFont="1" applyAlignment="1" applyProtection="1">
      <alignment horizontal="center" vertical="center" wrapText="1"/>
      <protection hidden="1" locked="0"/>
    </xf>
    <xf numFmtId="0" fontId="0" fillId="0" borderId="0" xfId="0" applyAlignment="1" applyProtection="1">
      <alignment horizontal="left" vertical="center" wrapText="1"/>
      <protection hidden="1"/>
    </xf>
    <xf numFmtId="0" fontId="94" fillId="0" borderId="0" xfId="0" applyFont="1" applyAlignment="1" applyProtection="1">
      <alignment horizontal="justify" vertical="center" wrapText="1"/>
      <protection hidden="1" locked="0"/>
    </xf>
    <xf numFmtId="6" fontId="76" fillId="42" borderId="28" xfId="0" applyNumberFormat="1" applyFont="1" applyFill="1" applyBorder="1" applyAlignment="1" applyProtection="1">
      <alignment horizontal="center" wrapText="1"/>
      <protection hidden="1"/>
    </xf>
    <xf numFmtId="6" fontId="76" fillId="42" borderId="30" xfId="0" applyNumberFormat="1" applyFont="1" applyFill="1" applyBorder="1" applyAlignment="1" applyProtection="1">
      <alignment horizontal="center" wrapText="1"/>
      <protection hidden="1"/>
    </xf>
    <xf numFmtId="0" fontId="58" fillId="0" borderId="0" xfId="0" applyFont="1" applyAlignment="1" applyProtection="1">
      <alignment horizontal="left" wrapText="1"/>
      <protection hidden="1"/>
    </xf>
    <xf numFmtId="0" fontId="76" fillId="41" borderId="31" xfId="0" applyFont="1" applyFill="1" applyBorder="1" applyAlignment="1" applyProtection="1">
      <alignment horizontal="center" wrapText="1"/>
      <protection hidden="1"/>
    </xf>
    <xf numFmtId="10" fontId="0" fillId="0" borderId="29" xfId="68" applyNumberFormat="1" applyFont="1" applyBorder="1" applyAlignment="1" applyProtection="1">
      <alignment horizontal="center" wrapText="1"/>
      <protection hidden="1"/>
    </xf>
    <xf numFmtId="10" fontId="0" fillId="0" borderId="30" xfId="68" applyNumberFormat="1" applyFont="1" applyBorder="1" applyAlignment="1" applyProtection="1">
      <alignment horizontal="center" wrapText="1"/>
      <protection hidden="1"/>
    </xf>
    <xf numFmtId="165" fontId="3" fillId="0" borderId="10" xfId="43" applyNumberFormat="1" applyFont="1" applyFill="1" applyBorder="1" applyAlignment="1" applyProtection="1">
      <alignment vertical="center" wrapText="1"/>
      <protection hidden="1" locked="0"/>
    </xf>
    <xf numFmtId="6" fontId="0" fillId="43" borderId="10" xfId="0" applyNumberFormat="1" applyFill="1" applyBorder="1" applyAlignment="1" applyProtection="1">
      <alignment vertical="center" wrapText="1"/>
      <protection hidden="1"/>
    </xf>
    <xf numFmtId="6" fontId="88" fillId="39" borderId="0" xfId="0" applyNumberFormat="1" applyFont="1" applyFill="1" applyBorder="1" applyAlignment="1" applyProtection="1">
      <alignment vertical="center" wrapText="1"/>
      <protection hidden="1"/>
    </xf>
  </cellXfs>
  <cellStyles count="59">
    <cellStyle name="Normal" xfId="0"/>
    <cellStyle name="_RAR Previo (26Feb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stilo 1" xfId="47"/>
    <cellStyle name="Euro"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llares 2" xfId="58"/>
    <cellStyle name="Millares_P&amp;L Premier" xfId="59"/>
    <cellStyle name="Moneda 2" xfId="60"/>
    <cellStyle name="Moneda_P&amp;L Premier" xfId="61"/>
    <cellStyle name="Neutral" xfId="62"/>
    <cellStyle name="Normal 2" xfId="63"/>
    <cellStyle name="Normal_P&amp;L Premier" xfId="64"/>
    <cellStyle name="Normal_simulador_hipotecario_11052012_Ejecutivos Desp" xfId="65"/>
    <cellStyle name="Note" xfId="66"/>
    <cellStyle name="Output" xfId="67"/>
    <cellStyle name="Percent" xfId="68"/>
    <cellStyle name="Porcentaje 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xdr:row>
      <xdr:rowOff>104775</xdr:rowOff>
    </xdr:from>
    <xdr:to>
      <xdr:col>10</xdr:col>
      <xdr:colOff>466725</xdr:colOff>
      <xdr:row>3</xdr:row>
      <xdr:rowOff>95250</xdr:rowOff>
    </xdr:to>
    <xdr:sp>
      <xdr:nvSpPr>
        <xdr:cNvPr id="1" name="Rectangle 106"/>
        <xdr:cNvSpPr>
          <a:spLocks/>
        </xdr:cNvSpPr>
      </xdr:nvSpPr>
      <xdr:spPr>
        <a:xfrm rot="18900000">
          <a:off x="12477750" y="266700"/>
          <a:ext cx="400050" cy="3143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276225</xdr:colOff>
      <xdr:row>0</xdr:row>
      <xdr:rowOff>0</xdr:rowOff>
    </xdr:from>
    <xdr:to>
      <xdr:col>11</xdr:col>
      <xdr:colOff>876300</xdr:colOff>
      <xdr:row>2</xdr:row>
      <xdr:rowOff>57150</xdr:rowOff>
    </xdr:to>
    <xdr:pic>
      <xdr:nvPicPr>
        <xdr:cNvPr id="2" name="Picture 107"/>
        <xdr:cNvPicPr preferRelativeResize="1">
          <a:picLocks noChangeAspect="1"/>
        </xdr:cNvPicPr>
      </xdr:nvPicPr>
      <xdr:blipFill>
        <a:blip r:embed="rId1"/>
        <a:srcRect l="10923" t="18943" r="76989" b="76489"/>
        <a:stretch>
          <a:fillRect/>
        </a:stretch>
      </xdr:blipFill>
      <xdr:spPr>
        <a:xfrm>
          <a:off x="12687300" y="0"/>
          <a:ext cx="1447800" cy="381000"/>
        </a:xfrm>
        <a:prstGeom prst="rect">
          <a:avLst/>
        </a:prstGeom>
        <a:noFill/>
        <a:ln w="9525" cmpd="sng">
          <a:noFill/>
        </a:ln>
      </xdr:spPr>
    </xdr:pic>
    <xdr:clientData/>
  </xdr:twoCellAnchor>
  <xdr:twoCellAnchor>
    <xdr:from>
      <xdr:col>10</xdr:col>
      <xdr:colOff>466725</xdr:colOff>
      <xdr:row>4</xdr:row>
      <xdr:rowOff>133350</xdr:rowOff>
    </xdr:from>
    <xdr:to>
      <xdr:col>11</xdr:col>
      <xdr:colOff>809625</xdr:colOff>
      <xdr:row>6</xdr:row>
      <xdr:rowOff>9525</xdr:rowOff>
    </xdr:to>
    <xdr:sp macro="[0]!b">
      <xdr:nvSpPr>
        <xdr:cNvPr id="3" name="AutoShape 108"/>
        <xdr:cNvSpPr>
          <a:spLocks/>
        </xdr:cNvSpPr>
      </xdr:nvSpPr>
      <xdr:spPr>
        <a:xfrm>
          <a:off x="12877800" y="876300"/>
          <a:ext cx="1190625" cy="371475"/>
        </a:xfrm>
        <a:prstGeom prst="roundRect">
          <a:avLst/>
        </a:prstGeom>
        <a:solidFill>
          <a:srgbClr val="FF0000"/>
        </a:solidFill>
        <a:ln w="38100" cmpd="dbl">
          <a:solidFill>
            <a:srgbClr val="FFFFFF"/>
          </a:solidFill>
          <a:headEnd type="none"/>
          <a:tailEnd type="none"/>
        </a:ln>
      </xdr:spPr>
      <xdr:txBody>
        <a:bodyPr vertOverflow="clip" wrap="square" lIns="27432" tIns="22860" rIns="27432" bIns="22860" anchor="ctr"/>
        <a:p>
          <a:pPr algn="ctr">
            <a:defRPr/>
          </a:pPr>
          <a:r>
            <a:rPr lang="en-US" cap="none" sz="900" b="0" i="0" u="none" baseline="0">
              <a:solidFill>
                <a:srgbClr val="FFFFFF"/>
              </a:solidFill>
            </a:rPr>
            <a:t>REGRESAR</a:t>
          </a:r>
        </a:p>
      </xdr:txBody>
    </xdr:sp>
    <xdr:clientData/>
  </xdr:twoCellAnchor>
  <xdr:twoCellAnchor>
    <xdr:from>
      <xdr:col>5</xdr:col>
      <xdr:colOff>0</xdr:colOff>
      <xdr:row>8</xdr:row>
      <xdr:rowOff>76200</xdr:rowOff>
    </xdr:from>
    <xdr:to>
      <xdr:col>7</xdr:col>
      <xdr:colOff>895350</xdr:colOff>
      <xdr:row>10</xdr:row>
      <xdr:rowOff>38100</xdr:rowOff>
    </xdr:to>
    <xdr:sp>
      <xdr:nvSpPr>
        <xdr:cNvPr id="4" name="Rectangle 110"/>
        <xdr:cNvSpPr>
          <a:spLocks/>
        </xdr:cNvSpPr>
      </xdr:nvSpPr>
      <xdr:spPr>
        <a:xfrm>
          <a:off x="5381625" y="1638300"/>
          <a:ext cx="4410075" cy="285750"/>
        </a:xfrm>
        <a:prstGeom prst="rect">
          <a:avLst/>
        </a:prstGeom>
        <a:solidFill>
          <a:srgbClr val="C0C0C0"/>
        </a:solidFill>
        <a:ln w="57150" cmpd="thickThin">
          <a:solidFill>
            <a:srgbClr val="FFFFFF"/>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GASTOS MENSUALES</a:t>
          </a:r>
        </a:p>
      </xdr:txBody>
    </xdr:sp>
    <xdr:clientData/>
  </xdr:twoCellAnchor>
  <xdr:twoCellAnchor>
    <xdr:from>
      <xdr:col>5</xdr:col>
      <xdr:colOff>38100</xdr:colOff>
      <xdr:row>20</xdr:row>
      <xdr:rowOff>38100</xdr:rowOff>
    </xdr:from>
    <xdr:to>
      <xdr:col>7</xdr:col>
      <xdr:colOff>847725</xdr:colOff>
      <xdr:row>21</xdr:row>
      <xdr:rowOff>114300</xdr:rowOff>
    </xdr:to>
    <xdr:sp>
      <xdr:nvSpPr>
        <xdr:cNvPr id="5" name="Rectangle 111"/>
        <xdr:cNvSpPr>
          <a:spLocks/>
        </xdr:cNvSpPr>
      </xdr:nvSpPr>
      <xdr:spPr>
        <a:xfrm>
          <a:off x="5419725" y="3581400"/>
          <a:ext cx="4324350" cy="266700"/>
        </a:xfrm>
        <a:prstGeom prst="rect">
          <a:avLst/>
        </a:prstGeom>
        <a:solidFill>
          <a:srgbClr val="C0C0C0"/>
        </a:solidFill>
        <a:ln w="57150" cmpd="thickThin">
          <a:solidFill>
            <a:srgbClr val="FFFFFF"/>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GASTOS INICIALES</a:t>
          </a:r>
        </a:p>
      </xdr:txBody>
    </xdr:sp>
    <xdr:clientData/>
  </xdr:twoCellAnchor>
  <xdr:twoCellAnchor>
    <xdr:from>
      <xdr:col>1</xdr:col>
      <xdr:colOff>9525</xdr:colOff>
      <xdr:row>8</xdr:row>
      <xdr:rowOff>66675</xdr:rowOff>
    </xdr:from>
    <xdr:to>
      <xdr:col>4</xdr:col>
      <xdr:colOff>247650</xdr:colOff>
      <xdr:row>10</xdr:row>
      <xdr:rowOff>28575</xdr:rowOff>
    </xdr:to>
    <xdr:sp>
      <xdr:nvSpPr>
        <xdr:cNvPr id="6" name="Rectangle 112"/>
        <xdr:cNvSpPr>
          <a:spLocks/>
        </xdr:cNvSpPr>
      </xdr:nvSpPr>
      <xdr:spPr>
        <a:xfrm>
          <a:off x="361950" y="1628775"/>
          <a:ext cx="4305300" cy="285750"/>
        </a:xfrm>
        <a:prstGeom prst="rect">
          <a:avLst/>
        </a:prstGeom>
        <a:solidFill>
          <a:srgbClr val="C0C0C0"/>
        </a:solidFill>
        <a:ln w="57150" cmpd="thickThin">
          <a:solidFill>
            <a:srgbClr val="FFFFFF"/>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DATOS DEL FINANCIAMIENTO:</a:t>
          </a:r>
        </a:p>
      </xdr:txBody>
    </xdr:sp>
    <xdr:clientData/>
  </xdr:twoCellAnchor>
  <xdr:twoCellAnchor>
    <xdr:from>
      <xdr:col>5</xdr:col>
      <xdr:colOff>47625</xdr:colOff>
      <xdr:row>32</xdr:row>
      <xdr:rowOff>152400</xdr:rowOff>
    </xdr:from>
    <xdr:to>
      <xdr:col>7</xdr:col>
      <xdr:colOff>704850</xdr:colOff>
      <xdr:row>33</xdr:row>
      <xdr:rowOff>76200</xdr:rowOff>
    </xdr:to>
    <xdr:sp>
      <xdr:nvSpPr>
        <xdr:cNvPr id="7" name="Rectangle 113"/>
        <xdr:cNvSpPr>
          <a:spLocks/>
        </xdr:cNvSpPr>
      </xdr:nvSpPr>
      <xdr:spPr>
        <a:xfrm>
          <a:off x="5429250" y="6067425"/>
          <a:ext cx="4171950" cy="247650"/>
        </a:xfrm>
        <a:prstGeom prst="rect">
          <a:avLst/>
        </a:prstGeom>
        <a:solidFill>
          <a:srgbClr val="C0C0C0"/>
        </a:solidFill>
        <a:ln w="57150" cmpd="thickThin">
          <a:solidFill>
            <a:srgbClr val="FFFFFF"/>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PLAZO FINAL DEL CRÉDITO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xdr:row>
      <xdr:rowOff>180975</xdr:rowOff>
    </xdr:from>
    <xdr:to>
      <xdr:col>1</xdr:col>
      <xdr:colOff>1276350</xdr:colOff>
      <xdr:row>5</xdr:row>
      <xdr:rowOff>0</xdr:rowOff>
    </xdr:to>
    <xdr:pic>
      <xdr:nvPicPr>
        <xdr:cNvPr id="1" name="Picture 107"/>
        <xdr:cNvPicPr preferRelativeResize="1">
          <a:picLocks noChangeAspect="1"/>
        </xdr:cNvPicPr>
      </xdr:nvPicPr>
      <xdr:blipFill>
        <a:blip r:embed="rId1"/>
        <a:srcRect l="10923" t="18943" r="76989" b="76489"/>
        <a:stretch>
          <a:fillRect/>
        </a:stretch>
      </xdr:blipFill>
      <xdr:spPr>
        <a:xfrm>
          <a:off x="590550" y="180975"/>
          <a:ext cx="1362075" cy="390525"/>
        </a:xfrm>
        <a:prstGeom prst="rect">
          <a:avLst/>
        </a:prstGeom>
        <a:noFill/>
        <a:ln w="9525" cmpd="sng">
          <a:noFill/>
        </a:ln>
      </xdr:spPr>
    </xdr:pic>
    <xdr:clientData/>
  </xdr:twoCellAnchor>
  <xdr:twoCellAnchor>
    <xdr:from>
      <xdr:col>0</xdr:col>
      <xdr:colOff>571500</xdr:colOff>
      <xdr:row>13</xdr:row>
      <xdr:rowOff>152400</xdr:rowOff>
    </xdr:from>
    <xdr:to>
      <xdr:col>0</xdr:col>
      <xdr:colOff>657225</xdr:colOff>
      <xdr:row>13</xdr:row>
      <xdr:rowOff>219075</xdr:rowOff>
    </xdr:to>
    <xdr:sp>
      <xdr:nvSpPr>
        <xdr:cNvPr id="2" name="2 Elipse"/>
        <xdr:cNvSpPr>
          <a:spLocks/>
        </xdr:cNvSpPr>
      </xdr:nvSpPr>
      <xdr:spPr>
        <a:xfrm>
          <a:off x="571500" y="2286000"/>
          <a:ext cx="85725" cy="666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14</xdr:row>
      <xdr:rowOff>152400</xdr:rowOff>
    </xdr:from>
    <xdr:to>
      <xdr:col>0</xdr:col>
      <xdr:colOff>657225</xdr:colOff>
      <xdr:row>14</xdr:row>
      <xdr:rowOff>219075</xdr:rowOff>
    </xdr:to>
    <xdr:sp>
      <xdr:nvSpPr>
        <xdr:cNvPr id="3" name="12 Elipse"/>
        <xdr:cNvSpPr>
          <a:spLocks/>
        </xdr:cNvSpPr>
      </xdr:nvSpPr>
      <xdr:spPr>
        <a:xfrm>
          <a:off x="571500" y="2638425"/>
          <a:ext cx="85725" cy="666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15</xdr:row>
      <xdr:rowOff>152400</xdr:rowOff>
    </xdr:from>
    <xdr:to>
      <xdr:col>0</xdr:col>
      <xdr:colOff>657225</xdr:colOff>
      <xdr:row>15</xdr:row>
      <xdr:rowOff>219075</xdr:rowOff>
    </xdr:to>
    <xdr:sp>
      <xdr:nvSpPr>
        <xdr:cNvPr id="4" name="13 Elipse"/>
        <xdr:cNvSpPr>
          <a:spLocks/>
        </xdr:cNvSpPr>
      </xdr:nvSpPr>
      <xdr:spPr>
        <a:xfrm>
          <a:off x="571500" y="2990850"/>
          <a:ext cx="85725" cy="666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16</xdr:row>
      <xdr:rowOff>152400</xdr:rowOff>
    </xdr:from>
    <xdr:to>
      <xdr:col>0</xdr:col>
      <xdr:colOff>657225</xdr:colOff>
      <xdr:row>16</xdr:row>
      <xdr:rowOff>219075</xdr:rowOff>
    </xdr:to>
    <xdr:sp>
      <xdr:nvSpPr>
        <xdr:cNvPr id="5" name="14 Elipse"/>
        <xdr:cNvSpPr>
          <a:spLocks/>
        </xdr:cNvSpPr>
      </xdr:nvSpPr>
      <xdr:spPr>
        <a:xfrm>
          <a:off x="571500" y="3343275"/>
          <a:ext cx="85725" cy="666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18</xdr:row>
      <xdr:rowOff>152400</xdr:rowOff>
    </xdr:from>
    <xdr:to>
      <xdr:col>0</xdr:col>
      <xdr:colOff>657225</xdr:colOff>
      <xdr:row>18</xdr:row>
      <xdr:rowOff>219075</xdr:rowOff>
    </xdr:to>
    <xdr:sp>
      <xdr:nvSpPr>
        <xdr:cNvPr id="6" name="15 Elipse"/>
        <xdr:cNvSpPr>
          <a:spLocks/>
        </xdr:cNvSpPr>
      </xdr:nvSpPr>
      <xdr:spPr>
        <a:xfrm>
          <a:off x="571500" y="4048125"/>
          <a:ext cx="85725" cy="666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19</xdr:row>
      <xdr:rowOff>152400</xdr:rowOff>
    </xdr:from>
    <xdr:to>
      <xdr:col>0</xdr:col>
      <xdr:colOff>657225</xdr:colOff>
      <xdr:row>19</xdr:row>
      <xdr:rowOff>219075</xdr:rowOff>
    </xdr:to>
    <xdr:sp>
      <xdr:nvSpPr>
        <xdr:cNvPr id="7" name="16 Elipse"/>
        <xdr:cNvSpPr>
          <a:spLocks/>
        </xdr:cNvSpPr>
      </xdr:nvSpPr>
      <xdr:spPr>
        <a:xfrm>
          <a:off x="571500" y="4400550"/>
          <a:ext cx="85725" cy="666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20</xdr:row>
      <xdr:rowOff>57150</xdr:rowOff>
    </xdr:from>
    <xdr:to>
      <xdr:col>0</xdr:col>
      <xdr:colOff>657225</xdr:colOff>
      <xdr:row>20</xdr:row>
      <xdr:rowOff>123825</xdr:rowOff>
    </xdr:to>
    <xdr:sp>
      <xdr:nvSpPr>
        <xdr:cNvPr id="8" name="17 Elipse"/>
        <xdr:cNvSpPr>
          <a:spLocks/>
        </xdr:cNvSpPr>
      </xdr:nvSpPr>
      <xdr:spPr>
        <a:xfrm>
          <a:off x="571500" y="4657725"/>
          <a:ext cx="85725" cy="666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21</xdr:row>
      <xdr:rowOff>152400</xdr:rowOff>
    </xdr:from>
    <xdr:to>
      <xdr:col>0</xdr:col>
      <xdr:colOff>657225</xdr:colOff>
      <xdr:row>21</xdr:row>
      <xdr:rowOff>219075</xdr:rowOff>
    </xdr:to>
    <xdr:sp>
      <xdr:nvSpPr>
        <xdr:cNvPr id="9" name="18 Elipse"/>
        <xdr:cNvSpPr>
          <a:spLocks/>
        </xdr:cNvSpPr>
      </xdr:nvSpPr>
      <xdr:spPr>
        <a:xfrm>
          <a:off x="571500" y="5143500"/>
          <a:ext cx="85725" cy="666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571500</xdr:colOff>
      <xdr:row>22</xdr:row>
      <xdr:rowOff>152400</xdr:rowOff>
    </xdr:from>
    <xdr:to>
      <xdr:col>0</xdr:col>
      <xdr:colOff>657225</xdr:colOff>
      <xdr:row>22</xdr:row>
      <xdr:rowOff>219075</xdr:rowOff>
    </xdr:to>
    <xdr:sp>
      <xdr:nvSpPr>
        <xdr:cNvPr id="10" name="19 Elipse"/>
        <xdr:cNvSpPr>
          <a:spLocks/>
        </xdr:cNvSpPr>
      </xdr:nvSpPr>
      <xdr:spPr>
        <a:xfrm>
          <a:off x="571500" y="5495925"/>
          <a:ext cx="85725" cy="666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58</xdr:row>
      <xdr:rowOff>57150</xdr:rowOff>
    </xdr:from>
    <xdr:to>
      <xdr:col>0</xdr:col>
      <xdr:colOff>619125</xdr:colOff>
      <xdr:row>58</xdr:row>
      <xdr:rowOff>142875</xdr:rowOff>
    </xdr:to>
    <xdr:sp>
      <xdr:nvSpPr>
        <xdr:cNvPr id="11" name="11 Elipse"/>
        <xdr:cNvSpPr>
          <a:spLocks/>
        </xdr:cNvSpPr>
      </xdr:nvSpPr>
      <xdr:spPr>
        <a:xfrm>
          <a:off x="533400" y="12982575"/>
          <a:ext cx="85725" cy="85725"/>
        </a:xfrm>
        <a:prstGeom prst="ellipse">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59</xdr:row>
      <xdr:rowOff>57150</xdr:rowOff>
    </xdr:from>
    <xdr:to>
      <xdr:col>0</xdr:col>
      <xdr:colOff>619125</xdr:colOff>
      <xdr:row>59</xdr:row>
      <xdr:rowOff>142875</xdr:rowOff>
    </xdr:to>
    <xdr:sp>
      <xdr:nvSpPr>
        <xdr:cNvPr id="12" name="20 Elipse"/>
        <xdr:cNvSpPr>
          <a:spLocks/>
        </xdr:cNvSpPr>
      </xdr:nvSpPr>
      <xdr:spPr>
        <a:xfrm>
          <a:off x="533400" y="13173075"/>
          <a:ext cx="85725" cy="85725"/>
        </a:xfrm>
        <a:prstGeom prst="ellipse">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60</xdr:row>
      <xdr:rowOff>57150</xdr:rowOff>
    </xdr:from>
    <xdr:to>
      <xdr:col>0</xdr:col>
      <xdr:colOff>619125</xdr:colOff>
      <xdr:row>60</xdr:row>
      <xdr:rowOff>142875</xdr:rowOff>
    </xdr:to>
    <xdr:sp>
      <xdr:nvSpPr>
        <xdr:cNvPr id="13" name="21 Elipse"/>
        <xdr:cNvSpPr>
          <a:spLocks/>
        </xdr:cNvSpPr>
      </xdr:nvSpPr>
      <xdr:spPr>
        <a:xfrm>
          <a:off x="533400" y="13363575"/>
          <a:ext cx="85725" cy="85725"/>
        </a:xfrm>
        <a:prstGeom prst="ellipse">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61</xdr:row>
      <xdr:rowOff>57150</xdr:rowOff>
    </xdr:from>
    <xdr:to>
      <xdr:col>0</xdr:col>
      <xdr:colOff>619125</xdr:colOff>
      <xdr:row>61</xdr:row>
      <xdr:rowOff>142875</xdr:rowOff>
    </xdr:to>
    <xdr:sp>
      <xdr:nvSpPr>
        <xdr:cNvPr id="14" name="22 Elipse"/>
        <xdr:cNvSpPr>
          <a:spLocks/>
        </xdr:cNvSpPr>
      </xdr:nvSpPr>
      <xdr:spPr>
        <a:xfrm>
          <a:off x="533400" y="13554075"/>
          <a:ext cx="85725" cy="85725"/>
        </a:xfrm>
        <a:prstGeom prst="ellipse">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65</xdr:row>
      <xdr:rowOff>57150</xdr:rowOff>
    </xdr:from>
    <xdr:to>
      <xdr:col>0</xdr:col>
      <xdr:colOff>619125</xdr:colOff>
      <xdr:row>65</xdr:row>
      <xdr:rowOff>142875</xdr:rowOff>
    </xdr:to>
    <xdr:sp>
      <xdr:nvSpPr>
        <xdr:cNvPr id="15" name="24 Elipse"/>
        <xdr:cNvSpPr>
          <a:spLocks/>
        </xdr:cNvSpPr>
      </xdr:nvSpPr>
      <xdr:spPr>
        <a:xfrm>
          <a:off x="533400" y="14325600"/>
          <a:ext cx="85725" cy="85725"/>
        </a:xfrm>
        <a:prstGeom prst="ellipse">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66</xdr:row>
      <xdr:rowOff>57150</xdr:rowOff>
    </xdr:from>
    <xdr:to>
      <xdr:col>0</xdr:col>
      <xdr:colOff>619125</xdr:colOff>
      <xdr:row>66</xdr:row>
      <xdr:rowOff>142875</xdr:rowOff>
    </xdr:to>
    <xdr:sp>
      <xdr:nvSpPr>
        <xdr:cNvPr id="16" name="25 Elipse"/>
        <xdr:cNvSpPr>
          <a:spLocks/>
        </xdr:cNvSpPr>
      </xdr:nvSpPr>
      <xdr:spPr>
        <a:xfrm>
          <a:off x="533400" y="14516100"/>
          <a:ext cx="85725" cy="85725"/>
        </a:xfrm>
        <a:prstGeom prst="ellipse">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67</xdr:row>
      <xdr:rowOff>57150</xdr:rowOff>
    </xdr:from>
    <xdr:to>
      <xdr:col>0</xdr:col>
      <xdr:colOff>619125</xdr:colOff>
      <xdr:row>67</xdr:row>
      <xdr:rowOff>142875</xdr:rowOff>
    </xdr:to>
    <xdr:sp>
      <xdr:nvSpPr>
        <xdr:cNvPr id="17" name="26 Elipse"/>
        <xdr:cNvSpPr>
          <a:spLocks/>
        </xdr:cNvSpPr>
      </xdr:nvSpPr>
      <xdr:spPr>
        <a:xfrm>
          <a:off x="533400" y="14706600"/>
          <a:ext cx="85725" cy="85725"/>
        </a:xfrm>
        <a:prstGeom prst="ellipse">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68</xdr:row>
      <xdr:rowOff>57150</xdr:rowOff>
    </xdr:from>
    <xdr:to>
      <xdr:col>0</xdr:col>
      <xdr:colOff>619125</xdr:colOff>
      <xdr:row>68</xdr:row>
      <xdr:rowOff>142875</xdr:rowOff>
    </xdr:to>
    <xdr:sp>
      <xdr:nvSpPr>
        <xdr:cNvPr id="18" name="28 Elipse"/>
        <xdr:cNvSpPr>
          <a:spLocks/>
        </xdr:cNvSpPr>
      </xdr:nvSpPr>
      <xdr:spPr>
        <a:xfrm>
          <a:off x="533400" y="14897100"/>
          <a:ext cx="85725" cy="85725"/>
        </a:xfrm>
        <a:prstGeom prst="ellipse">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70</xdr:row>
      <xdr:rowOff>57150</xdr:rowOff>
    </xdr:from>
    <xdr:to>
      <xdr:col>0</xdr:col>
      <xdr:colOff>619125</xdr:colOff>
      <xdr:row>70</xdr:row>
      <xdr:rowOff>142875</xdr:rowOff>
    </xdr:to>
    <xdr:sp>
      <xdr:nvSpPr>
        <xdr:cNvPr id="19" name="29 Elipse"/>
        <xdr:cNvSpPr>
          <a:spLocks/>
        </xdr:cNvSpPr>
      </xdr:nvSpPr>
      <xdr:spPr>
        <a:xfrm>
          <a:off x="533400" y="15087600"/>
          <a:ext cx="85725" cy="85725"/>
        </a:xfrm>
        <a:prstGeom prst="ellipse">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590550</xdr:colOff>
      <xdr:row>70</xdr:row>
      <xdr:rowOff>76200</xdr:rowOff>
    </xdr:from>
    <xdr:to>
      <xdr:col>12</xdr:col>
      <xdr:colOff>257175</xdr:colOff>
      <xdr:row>75</xdr:row>
      <xdr:rowOff>76200</xdr:rowOff>
    </xdr:to>
    <xdr:sp macro="[0]!a">
      <xdr:nvSpPr>
        <xdr:cNvPr id="20" name="AutoShape 108"/>
        <xdr:cNvSpPr>
          <a:spLocks/>
        </xdr:cNvSpPr>
      </xdr:nvSpPr>
      <xdr:spPr>
        <a:xfrm>
          <a:off x="12553950" y="15106650"/>
          <a:ext cx="1190625" cy="381000"/>
        </a:xfrm>
        <a:prstGeom prst="roundRect">
          <a:avLst/>
        </a:prstGeom>
        <a:solidFill>
          <a:srgbClr val="FF0000"/>
        </a:solidFill>
        <a:ln w="38100" cmpd="dbl">
          <a:solidFill>
            <a:srgbClr val="FFFFFF"/>
          </a:solidFill>
          <a:headEnd type="none"/>
          <a:tailEnd type="none"/>
        </a:ln>
      </xdr:spPr>
      <xdr:txBody>
        <a:bodyPr vertOverflow="clip" wrap="square" lIns="27432" tIns="22860" rIns="27432" bIns="22860" anchor="ctr"/>
        <a:p>
          <a:pPr algn="ctr">
            <a:defRPr/>
          </a:pPr>
          <a:r>
            <a:rPr lang="en-US" cap="none" sz="900" b="0" i="0" u="none" baseline="0">
              <a:solidFill>
                <a:srgbClr val="FFFFFF"/>
              </a:solidFill>
            </a:rPr>
            <a:t>Tabla de Amortización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xcmdf020017wvs\File%20Server\DOCUME~1\35164109\LOCALS~1\Temp\Directorio%20temporal%201%20para%20HSBC_KFT_PL_200608_IAS.zip\Graficas_mktshare_2006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eams.mx.hsbc/Documents%20and%20Settings/43555976/My%20Documents/P&amp;L%202010/Finanzas/RORA%20ACUMU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xcmdf020017wvs\File%20Server\Finanzas\Analisis%20Financiero\Comun\WPA\2007\Octubre\tmp\CGR_Analysis_07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Analisis\2008\Octubre\CGR_ClosePackage_CMB_1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Analisis\2008\Octubre\CGR_ClosePackage_CMB_308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Tarj Créd"/>
      <sheetName val="Graf TC"/>
      <sheetName val="Autos"/>
      <sheetName val="Graf aut"/>
      <sheetName val="OTROS"/>
      <sheetName val="Graf otros"/>
      <sheetName val="VIV Propia"/>
      <sheetName val="Graf viv P"/>
      <sheetName val="VIV Total"/>
      <sheetName val="Graf viv T"/>
      <sheetName val="Hoja3"/>
    </sheetNames>
    <sheetDataSet>
      <sheetData sheetId="0">
        <row r="49">
          <cell r="B49" t="str">
            <v>Saldos al 28 de febrero de 2005, miles de pesos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ORA Feb10 Sist."/>
      <sheetName val="0710_RORA_MTH_PFS"/>
      <sheetName val="0610_RORA_MTH_PFS"/>
      <sheetName val="0510_RORA_MTH_PFS"/>
      <sheetName val="0410_RORA_MTH_PFS"/>
      <sheetName val="0310_RORA_MTH_PFS"/>
      <sheetName val="0210_RORA_MTH_PFS"/>
      <sheetName val="0110_RORA_MTH_PFS"/>
      <sheetName val="12_RORA_MTH_PFS"/>
      <sheetName val="11_RORA_MTH_PFS"/>
      <sheetName val="10_RORA_MTH_PFS"/>
      <sheetName val="09_RORA_MTH_PFS"/>
      <sheetName val="08_RORA_MTH_PFS"/>
      <sheetName val="07_RORA_MTH_PFS"/>
      <sheetName val="06_RORA_MTH_PFS"/>
      <sheetName val="05_RORA_MTH_PFS"/>
      <sheetName val="04_RORA_MTH_PFS"/>
      <sheetName val="03_RORA_MTH_PFS"/>
      <sheetName val="02 RORA_CGR_PFS MTH"/>
      <sheetName val="01 RORA_CGR_PFS"/>
    </sheetNames>
    <sheetDataSet>
      <sheetData sheetId="16">
        <row r="7">
          <cell r="A7" t="str">
            <v>Figures in MXNm</v>
          </cell>
          <cell r="B7" t="str">
            <v>Auto Loans</v>
          </cell>
          <cell r="C7" t="str">
            <v>Credit Card</v>
          </cell>
          <cell r="D7" t="str">
            <v>Personal loans</v>
          </cell>
          <cell r="E7" t="str">
            <v>Mortgages FR</v>
          </cell>
          <cell r="F7" t="str">
            <v>Mortgages Gov</v>
          </cell>
          <cell r="G7" t="str">
            <v>Old Mortgages</v>
          </cell>
          <cell r="H7" t="str">
            <v>Securitized Mortgages</v>
          </cell>
          <cell r="I7" t="str">
            <v>Mortgages    Ex Employees</v>
          </cell>
          <cell r="J7" t="str">
            <v>FORD</v>
          </cell>
          <cell r="K7" t="str">
            <v>Other Consumer</v>
          </cell>
          <cell r="L7" t="str">
            <v>Self Lower</v>
          </cell>
          <cell r="M7" t="str">
            <v>Self Upper</v>
          </cell>
          <cell r="N7" t="str">
            <v>Micro Self</v>
          </cell>
          <cell r="O7" t="str">
            <v>Micro small</v>
          </cell>
          <cell r="P7" t="str">
            <v>Agro Negocios</v>
          </cell>
          <cell r="Q7" t="str">
            <v>Commercial loans</v>
          </cell>
          <cell r="R7" t="str">
            <v>Commercial loans in agencies</v>
          </cell>
          <cell r="S7" t="str">
            <v>Other Commercial Loans</v>
          </cell>
          <cell r="T7" t="str">
            <v>Trade &amp; Supply Chain</v>
          </cell>
          <cell r="U7" t="str">
            <v>D&amp;S</v>
          </cell>
          <cell r="V7" t="str">
            <v>Demand Deposits MXN</v>
          </cell>
          <cell r="W7" t="str">
            <v>Demand Deposits USD</v>
          </cell>
          <cell r="X7" t="str">
            <v>Time Deposits MXN</v>
          </cell>
          <cell r="Y7" t="str">
            <v>Time Deposits USD</v>
          </cell>
          <cell r="Z7" t="str">
            <v>Investment Funds</v>
          </cell>
          <cell r="AA7" t="str">
            <v>PCM</v>
          </cell>
          <cell r="AB7" t="str">
            <v>ATM's</v>
          </cell>
          <cell r="AC7" t="str">
            <v>Debit Card</v>
          </cell>
          <cell r="AD7" t="str">
            <v>Acquiring</v>
          </cell>
          <cell r="AE7" t="str">
            <v>FX Branches</v>
          </cell>
          <cell r="AF7" t="str">
            <v>Metales</v>
          </cell>
          <cell r="AG7" t="str">
            <v>Custody</v>
          </cell>
          <cell r="AH7" t="str">
            <v>International Products</v>
          </cell>
          <cell r="AI7" t="str">
            <v>Fiduciary</v>
          </cell>
          <cell r="AJ7" t="str">
            <v>Appraisals</v>
          </cell>
          <cell r="AK7" t="str">
            <v>Debt Trading</v>
          </cell>
          <cell r="AL7" t="str">
            <v>Other</v>
          </cell>
          <cell r="AM7" t="str">
            <v>e Business &amp; Call Center</v>
          </cell>
          <cell r="AN7" t="str">
            <v>Branches</v>
          </cell>
          <cell r="AO7" t="str">
            <v>Total Bank</v>
          </cell>
          <cell r="AP7" t="str">
            <v>INMX</v>
          </cell>
          <cell r="AQ7" t="str">
            <v>AFORE</v>
          </cell>
          <cell r="AR7" t="str">
            <v>Total Core Business</v>
          </cell>
          <cell r="AS7" t="str">
            <v>HSBC Servicios</v>
          </cell>
          <cell r="AT7" t="str">
            <v>HSBC Holding</v>
          </cell>
          <cell r="AU7" t="str">
            <v>Other Subsidiaries</v>
          </cell>
          <cell r="AV7" t="str">
            <v>LAM</v>
          </cell>
          <cell r="AW7" t="str">
            <v>Eli-Co</v>
          </cell>
          <cell r="AX7" t="str">
            <v>Other not allocated</v>
          </cell>
          <cell r="AY7" t="str">
            <v>IFRS  Adjustments</v>
          </cell>
          <cell r="AZ7" t="str">
            <v>Total PFS</v>
          </cell>
        </row>
        <row r="9">
          <cell r="A9" t="str">
            <v>Outstanding Balance PL</v>
          </cell>
          <cell r="B9">
            <v>7022871.41764</v>
          </cell>
          <cell r="C9">
            <v>24278894.239860002</v>
          </cell>
          <cell r="D9">
            <v>6230149.934719999</v>
          </cell>
          <cell r="E9">
            <v>12078232.51586</v>
          </cell>
          <cell r="F9">
            <v>2321395.73806</v>
          </cell>
          <cell r="G9">
            <v>5110063.88788</v>
          </cell>
          <cell r="H9">
            <v>6232343.59977</v>
          </cell>
          <cell r="I9">
            <v>660710.05829</v>
          </cell>
          <cell r="J9">
            <v>206947.68346</v>
          </cell>
          <cell r="K9">
            <v>1264601.72266</v>
          </cell>
          <cell r="L9">
            <v>1906955.55108</v>
          </cell>
          <cell r="M9">
            <v>1014668.72231</v>
          </cell>
          <cell r="N9">
            <v>1028159.9801999999</v>
          </cell>
          <cell r="O9">
            <v>0</v>
          </cell>
          <cell r="P9">
            <v>84881.99348</v>
          </cell>
          <cell r="Q9">
            <v>59953.68858</v>
          </cell>
          <cell r="R9">
            <v>84645.56464</v>
          </cell>
          <cell r="S9">
            <v>0</v>
          </cell>
          <cell r="T9">
            <v>0</v>
          </cell>
          <cell r="U9">
            <v>131842490.27891</v>
          </cell>
          <cell r="V9">
            <v>56177064.07243</v>
          </cell>
          <cell r="W9">
            <v>5778311.706719999</v>
          </cell>
          <cell r="X9">
            <v>63823877.336849995</v>
          </cell>
          <cell r="Y9">
            <v>6063237.1629099995</v>
          </cell>
          <cell r="Z9">
            <v>0</v>
          </cell>
          <cell r="AA9">
            <v>0</v>
          </cell>
        </row>
        <row r="10">
          <cell r="A10" t="str">
            <v>Outstanding Balance NPL</v>
          </cell>
          <cell r="B10">
            <v>340206.71117</v>
          </cell>
          <cell r="C10">
            <v>4056396.97816</v>
          </cell>
          <cell r="D10">
            <v>436526.22896000004</v>
          </cell>
          <cell r="E10">
            <v>920452.88602</v>
          </cell>
          <cell r="F10">
            <v>32605.293659999996</v>
          </cell>
          <cell r="G10">
            <v>599547.27113</v>
          </cell>
          <cell r="H10">
            <v>0</v>
          </cell>
          <cell r="I10">
            <v>90798.87357</v>
          </cell>
          <cell r="J10">
            <v>416489.67444</v>
          </cell>
          <cell r="K10">
            <v>110314.20618</v>
          </cell>
          <cell r="L10">
            <v>260486.03805</v>
          </cell>
          <cell r="M10">
            <v>185823.23454000003</v>
          </cell>
          <cell r="N10">
            <v>117779.11047</v>
          </cell>
          <cell r="O10">
            <v>0</v>
          </cell>
          <cell r="P10">
            <v>66339.66041</v>
          </cell>
          <cell r="Q10">
            <v>23692.908030000002</v>
          </cell>
          <cell r="R10">
            <v>0</v>
          </cell>
          <cell r="S10">
            <v>0</v>
          </cell>
          <cell r="T10">
            <v>0</v>
          </cell>
          <cell r="U10">
            <v>0</v>
          </cell>
          <cell r="V10">
            <v>0</v>
          </cell>
          <cell r="W10">
            <v>0</v>
          </cell>
          <cell r="X10">
            <v>0</v>
          </cell>
          <cell r="Y10">
            <v>0</v>
          </cell>
          <cell r="Z10">
            <v>0</v>
          </cell>
          <cell r="AA10">
            <v>0</v>
          </cell>
        </row>
        <row r="11">
          <cell r="A11" t="str">
            <v>Avg Volume (PL)</v>
          </cell>
          <cell r="B11">
            <v>7019934.1193900015</v>
          </cell>
          <cell r="C11">
            <v>24138199.102463584</v>
          </cell>
          <cell r="D11">
            <v>6308433.773320001</v>
          </cell>
          <cell r="E11">
            <v>11969985.091969999</v>
          </cell>
          <cell r="F11">
            <v>2333518.14394</v>
          </cell>
          <cell r="G11">
            <v>5119388.306229999</v>
          </cell>
          <cell r="H11">
            <v>6319501.64726</v>
          </cell>
          <cell r="I11">
            <v>0</v>
          </cell>
          <cell r="J11">
            <v>244214.1432</v>
          </cell>
          <cell r="K11">
            <v>1291998.5806000002</v>
          </cell>
          <cell r="L11">
            <v>1846664.6827600002</v>
          </cell>
          <cell r="M11">
            <v>1000416.04891</v>
          </cell>
          <cell r="N11">
            <v>1005579.27746</v>
          </cell>
          <cell r="O11">
            <v>0</v>
          </cell>
          <cell r="P11">
            <v>85125.38911999999</v>
          </cell>
          <cell r="Q11">
            <v>60164.07312</v>
          </cell>
          <cell r="R11">
            <v>84357.73014</v>
          </cell>
          <cell r="S11">
            <v>0</v>
          </cell>
          <cell r="T11">
            <v>0</v>
          </cell>
          <cell r="U11">
            <v>132245703.1492126</v>
          </cell>
          <cell r="V11">
            <v>55683627.60881259</v>
          </cell>
          <cell r="W11">
            <v>5866332.897729999</v>
          </cell>
          <cell r="X11">
            <v>64551638.50490001</v>
          </cell>
          <cell r="Y11">
            <v>6144104.137770001</v>
          </cell>
          <cell r="Z11">
            <v>0</v>
          </cell>
          <cell r="AA11">
            <v>0</v>
          </cell>
        </row>
        <row r="12">
          <cell r="A12" t="str">
            <v>Avg Volume (Re-estructured Loans)</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row>
        <row r="13">
          <cell r="A13" t="str">
            <v>Avg Volume (NPL)</v>
          </cell>
          <cell r="B13">
            <v>358247.02011000004</v>
          </cell>
          <cell r="C13">
            <v>4057495.4838799997</v>
          </cell>
          <cell r="D13">
            <v>459412.545</v>
          </cell>
          <cell r="E13">
            <v>952363.11216</v>
          </cell>
          <cell r="F13">
            <v>32127.143630000002</v>
          </cell>
          <cell r="G13">
            <v>620221.7790099999</v>
          </cell>
          <cell r="H13">
            <v>0</v>
          </cell>
          <cell r="I13">
            <v>0</v>
          </cell>
          <cell r="J13">
            <v>400567.68062</v>
          </cell>
          <cell r="K13">
            <v>123734.90404999998</v>
          </cell>
          <cell r="L13">
            <v>264105.59880000004</v>
          </cell>
          <cell r="M13">
            <v>186010.2023</v>
          </cell>
          <cell r="N13">
            <v>123928.53841999998</v>
          </cell>
          <cell r="O13">
            <v>0</v>
          </cell>
          <cell r="P13">
            <v>64054.266950000005</v>
          </cell>
          <cell r="Q13">
            <v>22799.125509999998</v>
          </cell>
          <cell r="R13">
            <v>0</v>
          </cell>
          <cell r="S13">
            <v>0</v>
          </cell>
          <cell r="T13">
            <v>0</v>
          </cell>
          <cell r="U13">
            <v>0</v>
          </cell>
          <cell r="V13">
            <v>0</v>
          </cell>
          <cell r="W13">
            <v>0</v>
          </cell>
          <cell r="X13">
            <v>0</v>
          </cell>
          <cell r="Y13">
            <v>0</v>
          </cell>
          <cell r="Z13">
            <v>0</v>
          </cell>
          <cell r="AA13">
            <v>0</v>
          </cell>
        </row>
        <row r="14">
          <cell r="A14" t="str">
            <v>PLL</v>
          </cell>
          <cell r="B14">
            <v>301449.76116000395</v>
          </cell>
          <cell r="C14">
            <v>5592152.918238389</v>
          </cell>
          <cell r="D14">
            <v>786812.5390999536</v>
          </cell>
          <cell r="E14">
            <v>442891.1635200005</v>
          </cell>
          <cell r="F14">
            <v>21384.974919999902</v>
          </cell>
          <cell r="G14">
            <v>471347.15892000066</v>
          </cell>
          <cell r="H14">
            <v>115730.94410999956</v>
          </cell>
          <cell r="I14">
            <v>0</v>
          </cell>
          <cell r="J14">
            <v>0</v>
          </cell>
          <cell r="K14">
            <v>164826.98589000048</v>
          </cell>
          <cell r="L14">
            <v>273619.64897001145</v>
          </cell>
          <cell r="M14">
            <v>205533.2979800012</v>
          </cell>
          <cell r="N14">
            <v>147170.3536222562</v>
          </cell>
          <cell r="O14">
            <v>0</v>
          </cell>
          <cell r="P14">
            <v>0</v>
          </cell>
          <cell r="Q14">
            <v>0</v>
          </cell>
          <cell r="R14">
            <v>0</v>
          </cell>
          <cell r="S14">
            <v>28256.468969950667</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8551176.215400567</v>
          </cell>
          <cell r="AP14">
            <v>0</v>
          </cell>
          <cell r="AQ14">
            <v>0</v>
          </cell>
          <cell r="AR14">
            <v>8551176.215400567</v>
          </cell>
          <cell r="AS14">
            <v>0</v>
          </cell>
          <cell r="AT14">
            <v>0</v>
          </cell>
          <cell r="AU14">
            <v>0</v>
          </cell>
          <cell r="AV14">
            <v>0</v>
          </cell>
          <cell r="AW14">
            <v>0</v>
          </cell>
          <cell r="AX14">
            <v>0</v>
          </cell>
          <cell r="AY14">
            <v>0</v>
          </cell>
          <cell r="AZ14">
            <v>8551176.215400567</v>
          </cell>
        </row>
        <row r="15">
          <cell r="A15" t="str">
            <v>PLL/NPL</v>
          </cell>
          <cell r="B15">
            <v>0.8414578328312223</v>
          </cell>
          <cell r="C15">
            <v>1.3782277615478369</v>
          </cell>
          <cell r="D15">
            <v>1.7126492248920926</v>
          </cell>
          <cell r="E15">
            <v>0.4650444330162101</v>
          </cell>
          <cell r="F15">
            <v>0.6656357367553469</v>
          </cell>
          <cell r="G15">
            <v>0.7599655072938047</v>
          </cell>
          <cell r="H15" t="str">
            <v/>
          </cell>
          <cell r="I15" t="str">
            <v/>
          </cell>
          <cell r="J15">
            <v>0</v>
          </cell>
          <cell r="K15">
            <v>1.332097738754423</v>
          </cell>
          <cell r="L15">
            <v>1.0360236595257344</v>
          </cell>
          <cell r="M15">
            <v>1.1049571229889534</v>
          </cell>
          <cell r="N15">
            <v>1.1875420746389225</v>
          </cell>
          <cell r="O15" t="str">
            <v/>
          </cell>
          <cell r="P15">
            <v>0</v>
          </cell>
          <cell r="Q15">
            <v>0</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cell r="AE15" t="str">
            <v/>
          </cell>
          <cell r="AF15" t="str">
            <v/>
          </cell>
          <cell r="AG15" t="str">
            <v/>
          </cell>
          <cell r="AH15" t="str">
            <v/>
          </cell>
          <cell r="AI15" t="str">
            <v/>
          </cell>
          <cell r="AJ15" t="str">
            <v/>
          </cell>
          <cell r="AK15" t="str">
            <v/>
          </cell>
          <cell r="AL15" t="str">
            <v/>
          </cell>
          <cell r="AM15" t="str">
            <v/>
          </cell>
          <cell r="AN15" t="str">
            <v/>
          </cell>
          <cell r="AO15">
            <v>0</v>
          </cell>
          <cell r="AP15" t="str">
            <v/>
          </cell>
          <cell r="AQ15" t="str">
            <v/>
          </cell>
          <cell r="AR15">
            <v>0</v>
          </cell>
          <cell r="AS15" t="str">
            <v/>
          </cell>
          <cell r="AT15" t="str">
            <v/>
          </cell>
          <cell r="AU15" t="str">
            <v/>
          </cell>
          <cell r="AV15" t="str">
            <v/>
          </cell>
          <cell r="AW15" t="str">
            <v/>
          </cell>
          <cell r="AX15" t="str">
            <v/>
          </cell>
          <cell r="AY15">
            <v>0</v>
          </cell>
          <cell r="AZ15">
            <v>1.0808104581744902</v>
          </cell>
        </row>
        <row r="16">
          <cell r="A16" t="str">
            <v>Interest Earned</v>
          </cell>
          <cell r="B16">
            <v>86956.58036000002</v>
          </cell>
          <cell r="C16">
            <v>733058.76712</v>
          </cell>
          <cell r="D16">
            <v>195690.01122999995</v>
          </cell>
          <cell r="E16">
            <v>121320.24073000008</v>
          </cell>
          <cell r="F16">
            <v>21695.699120000005</v>
          </cell>
          <cell r="G16">
            <v>41392.08121999999</v>
          </cell>
          <cell r="H16">
            <v>17412</v>
          </cell>
          <cell r="I16">
            <v>0</v>
          </cell>
          <cell r="J16">
            <v>2670.3984999999993</v>
          </cell>
          <cell r="K16">
            <v>15942.816149999999</v>
          </cell>
          <cell r="L16">
            <v>39795.47558000001</v>
          </cell>
          <cell r="M16">
            <v>21455.41261</v>
          </cell>
          <cell r="N16">
            <v>21735.43796000001</v>
          </cell>
          <cell r="O16">
            <v>0</v>
          </cell>
          <cell r="P16">
            <v>833.4281900000004</v>
          </cell>
          <cell r="Q16">
            <v>1263.7216400000007</v>
          </cell>
          <cell r="R16">
            <v>240.05963000000042</v>
          </cell>
          <cell r="S16">
            <v>0</v>
          </cell>
          <cell r="T16">
            <v>0</v>
          </cell>
          <cell r="U16">
            <v>714945.1173200003</v>
          </cell>
          <cell r="V16">
            <v>337753.6937500001</v>
          </cell>
          <cell r="W16">
            <v>783.87115</v>
          </cell>
          <cell r="X16">
            <v>371862.79619000014</v>
          </cell>
          <cell r="Y16">
            <v>4544.756230000003</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2036472.17172</v>
          </cell>
          <cell r="AP16">
            <v>73307</v>
          </cell>
          <cell r="AQ16">
            <v>3</v>
          </cell>
          <cell r="AR16">
            <v>2109782.17172</v>
          </cell>
          <cell r="AS16">
            <v>28.48887897686138</v>
          </cell>
          <cell r="AT16">
            <v>4375</v>
          </cell>
          <cell r="AU16">
            <v>0</v>
          </cell>
          <cell r="AV16">
            <v>0</v>
          </cell>
          <cell r="AW16">
            <v>0</v>
          </cell>
          <cell r="AX16">
            <v>0</v>
          </cell>
          <cell r="AY16">
            <v>0</v>
          </cell>
          <cell r="AZ16">
            <v>2114185.660598977</v>
          </cell>
        </row>
        <row r="17">
          <cell r="A17" t="str">
            <v>Interest Earned1</v>
          </cell>
          <cell r="B17">
            <v>0.1486451221013273</v>
          </cell>
          <cell r="C17">
            <v>0.3644308826892638</v>
          </cell>
          <cell r="D17">
            <v>0.37224455691228525</v>
          </cell>
          <cell r="E17">
            <v>0.12162445296081827</v>
          </cell>
          <cell r="F17">
            <v>0.11156904441309294</v>
          </cell>
          <cell r="G17">
            <v>0.09702428199000623</v>
          </cell>
          <cell r="H17">
            <v>0.03306336664863338</v>
          </cell>
          <cell r="I17">
            <v>0</v>
          </cell>
          <cell r="J17">
            <v>0.13121591395203025</v>
          </cell>
          <cell r="K17">
            <v>0.1480758544728079</v>
          </cell>
          <cell r="L17">
            <v>0.25859903609910745</v>
          </cell>
          <cell r="M17">
            <v>0.25735787785543834</v>
          </cell>
          <cell r="N17">
            <v>0.2593781130601861</v>
          </cell>
          <cell r="O17">
            <v>0</v>
          </cell>
          <cell r="P17">
            <v>0.11748713730872408</v>
          </cell>
          <cell r="Q17">
            <v>0.25205507030339186</v>
          </cell>
          <cell r="R17">
            <v>0.03414880361549763</v>
          </cell>
          <cell r="S17">
            <v>0</v>
          </cell>
          <cell r="T17">
            <v>0</v>
          </cell>
          <cell r="U17">
            <v>0.06487425453937015</v>
          </cell>
          <cell r="V17">
            <v>0.07278700219521185</v>
          </cell>
          <cell r="W17">
            <v>0.0016034640317871942</v>
          </cell>
          <cell r="X17">
            <v>0.06912843202177234</v>
          </cell>
          <cell r="Y17">
            <v>0.008876326562361007</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Cost of Funds (PL)</v>
          </cell>
          <cell r="B18">
            <v>45783.314920000004</v>
          </cell>
          <cell r="C18">
            <v>148531.68845000013</v>
          </cell>
          <cell r="D18">
            <v>41444.62211</v>
          </cell>
          <cell r="E18">
            <v>90075.57940999995</v>
          </cell>
          <cell r="F18">
            <v>13089.985509999991</v>
          </cell>
          <cell r="G18">
            <v>21176.150979999984</v>
          </cell>
          <cell r="H18">
            <v>0</v>
          </cell>
          <cell r="I18">
            <v>0</v>
          </cell>
          <cell r="J18">
            <v>1484.5089000000007</v>
          </cell>
          <cell r="K18">
            <v>9029.427229999998</v>
          </cell>
          <cell r="L18">
            <v>11832.407459999995</v>
          </cell>
          <cell r="M18">
            <v>6466.40451</v>
          </cell>
          <cell r="N18">
            <v>6447.07087</v>
          </cell>
          <cell r="O18">
            <v>0</v>
          </cell>
          <cell r="P18">
            <v>516.68773</v>
          </cell>
          <cell r="Q18">
            <v>376.9767599999998</v>
          </cell>
          <cell r="R18">
            <v>120.18795999999986</v>
          </cell>
          <cell r="S18">
            <v>0</v>
          </cell>
          <cell r="T18">
            <v>0</v>
          </cell>
          <cell r="U18">
            <v>253241.45973</v>
          </cell>
          <cell r="V18">
            <v>5941.372130000003</v>
          </cell>
          <cell r="W18">
            <v>48.530339999999995</v>
          </cell>
          <cell r="X18">
            <v>244509.76035</v>
          </cell>
          <cell r="Y18">
            <v>2741.796910000001</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649644.8464200001</v>
          </cell>
          <cell r="AP18">
            <v>0</v>
          </cell>
          <cell r="AQ18">
            <v>0</v>
          </cell>
          <cell r="AR18">
            <v>649644.8464200001</v>
          </cell>
          <cell r="AS18">
            <v>0</v>
          </cell>
          <cell r="AT18">
            <v>0</v>
          </cell>
          <cell r="AU18">
            <v>0</v>
          </cell>
          <cell r="AV18">
            <v>0</v>
          </cell>
          <cell r="AW18">
            <v>0</v>
          </cell>
          <cell r="AX18">
            <v>0</v>
          </cell>
          <cell r="AY18">
            <v>0</v>
          </cell>
          <cell r="AZ18">
            <v>649644.8464200001</v>
          </cell>
        </row>
        <row r="19">
          <cell r="A19" t="str">
            <v>Cost of Funds (PL)1</v>
          </cell>
          <cell r="B19">
            <v>0.07826281125950799</v>
          </cell>
          <cell r="C19">
            <v>0.07384064792215957</v>
          </cell>
          <cell r="D19">
            <v>0.07883659925596119</v>
          </cell>
          <cell r="E19">
            <v>0.09030144520774049</v>
          </cell>
          <cell r="F19">
            <v>0.06731459385817347</v>
          </cell>
          <cell r="G19">
            <v>0.049637534127028024</v>
          </cell>
          <cell r="H19">
            <v>0</v>
          </cell>
          <cell r="I19">
            <v>0</v>
          </cell>
          <cell r="J19">
            <v>0.07294461560078888</v>
          </cell>
          <cell r="K19">
            <v>0.08386474132942244</v>
          </cell>
          <cell r="L19">
            <v>0.07688937295740408</v>
          </cell>
          <cell r="M19">
            <v>0.07756458345959703</v>
          </cell>
          <cell r="N19">
            <v>0.07693560535119263</v>
          </cell>
          <cell r="O19">
            <v>0</v>
          </cell>
          <cell r="P19">
            <v>0.07283670387996226</v>
          </cell>
          <cell r="Q19">
            <v>0.07518974174134169</v>
          </cell>
          <cell r="R19">
            <v>0.017096898145628536</v>
          </cell>
          <cell r="S19">
            <v>0</v>
          </cell>
          <cell r="T19">
            <v>0</v>
          </cell>
          <cell r="U19">
            <v>0.022979177730494706</v>
          </cell>
          <cell r="V19">
            <v>0.0012803847130950306</v>
          </cell>
          <cell r="W19">
            <v>9.927225238536122E-05</v>
          </cell>
          <cell r="X19">
            <v>0.045453797799064014</v>
          </cell>
          <cell r="Y19">
            <v>0.005354981325551168</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row>
        <row r="20">
          <cell r="A20" t="str">
            <v>Cost of Funds (NPL)</v>
          </cell>
          <cell r="B20">
            <v>1915.9647713849881</v>
          </cell>
          <cell r="C20">
            <v>21700.16209703755</v>
          </cell>
          <cell r="D20">
            <v>2457.0148594175007</v>
          </cell>
          <cell r="E20">
            <v>5093.3966510170285</v>
          </cell>
          <cell r="F20">
            <v>171.82131865717008</v>
          </cell>
          <cell r="G20">
            <v>3317.04944444196</v>
          </cell>
          <cell r="H20">
            <v>0</v>
          </cell>
          <cell r="I20">
            <v>0</v>
          </cell>
          <cell r="J20">
            <v>2142.3027172358616</v>
          </cell>
          <cell r="K20">
            <v>661.7548893433805</v>
          </cell>
          <cell r="L20">
            <v>1412.4807599821906</v>
          </cell>
          <cell r="M20">
            <v>994.8135636007796</v>
          </cell>
          <cell r="N20">
            <v>662.7904782265596</v>
          </cell>
          <cell r="O20">
            <v>0</v>
          </cell>
          <cell r="P20">
            <v>342.57289535973996</v>
          </cell>
          <cell r="Q20">
            <v>121.93352308173002</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41000.32877389077</v>
          </cell>
          <cell r="AP20">
            <v>0</v>
          </cell>
          <cell r="AQ20">
            <v>0</v>
          </cell>
          <cell r="AR20">
            <v>41000.32877389077</v>
          </cell>
          <cell r="AS20">
            <v>0</v>
          </cell>
          <cell r="AT20">
            <v>0</v>
          </cell>
          <cell r="AU20">
            <v>0</v>
          </cell>
          <cell r="AV20">
            <v>0</v>
          </cell>
          <cell r="AW20">
            <v>0</v>
          </cell>
          <cell r="AX20">
            <v>0</v>
          </cell>
          <cell r="AY20">
            <v>0</v>
          </cell>
          <cell r="AZ20">
            <v>41000.32877389077</v>
          </cell>
        </row>
        <row r="21">
          <cell r="A21" t="str">
            <v>Cost of Funds (NPL)1</v>
          </cell>
          <cell r="B21">
            <v>0.06417800000000076</v>
          </cell>
          <cell r="C21">
            <v>0.064178</v>
          </cell>
          <cell r="D21">
            <v>0.06417800000000003</v>
          </cell>
          <cell r="E21">
            <v>0.06417799999999986</v>
          </cell>
          <cell r="F21">
            <v>0.0641779999999969</v>
          </cell>
          <cell r="G21">
            <v>0.06417799999999958</v>
          </cell>
          <cell r="H21">
            <v>0</v>
          </cell>
          <cell r="I21">
            <v>0</v>
          </cell>
          <cell r="J21">
            <v>0.06417799999999994</v>
          </cell>
          <cell r="K21">
            <v>0.0641779999999973</v>
          </cell>
          <cell r="L21">
            <v>0.06417799999999957</v>
          </cell>
          <cell r="M21">
            <v>0.06417799999999976</v>
          </cell>
          <cell r="N21">
            <v>0.06417799999999965</v>
          </cell>
          <cell r="O21">
            <v>0</v>
          </cell>
          <cell r="P21">
            <v>0.06417799999999656</v>
          </cell>
          <cell r="Q21">
            <v>0.06417799999999914</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row>
        <row r="22">
          <cell r="A22" t="str">
            <v>PLL Value of Funds</v>
          </cell>
          <cell r="B22">
            <v>1542.030450997755</v>
          </cell>
          <cell r="C22">
            <v>31553.649682000847</v>
          </cell>
          <cell r="D22">
            <v>3091.135841606403</v>
          </cell>
          <cell r="E22">
            <v>2097.327955943696</v>
          </cell>
          <cell r="F22">
            <v>130.97741699796774</v>
          </cell>
          <cell r="G22">
            <v>2816.4722366868646</v>
          </cell>
          <cell r="H22">
            <v>0</v>
          </cell>
          <cell r="I22">
            <v>0</v>
          </cell>
          <cell r="J22">
            <v>0</v>
          </cell>
          <cell r="K22">
            <v>831.2277612177736</v>
          </cell>
          <cell r="L22">
            <v>1397.453870668076</v>
          </cell>
          <cell r="M22">
            <v>991.1093546901975</v>
          </cell>
          <cell r="N22">
            <v>468.1946271001202</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44919.5791979097</v>
          </cell>
          <cell r="AP22">
            <v>0</v>
          </cell>
          <cell r="AQ22">
            <v>0</v>
          </cell>
          <cell r="AR22">
            <v>44919.5791979097</v>
          </cell>
          <cell r="AS22">
            <v>0</v>
          </cell>
          <cell r="AT22">
            <v>0</v>
          </cell>
          <cell r="AU22">
            <v>0</v>
          </cell>
          <cell r="AV22">
            <v>0</v>
          </cell>
          <cell r="AW22">
            <v>0</v>
          </cell>
          <cell r="AX22">
            <v>0</v>
          </cell>
          <cell r="AY22">
            <v>0</v>
          </cell>
          <cell r="AZ22">
            <v>44919.5791979097</v>
          </cell>
        </row>
        <row r="23">
          <cell r="A23" t="str">
            <v>PLL Value of Funds1</v>
          </cell>
          <cell r="B23">
            <v>0.06417800000000076</v>
          </cell>
          <cell r="C23">
            <v>0.064178</v>
          </cell>
          <cell r="D23">
            <v>0.06417800000000003</v>
          </cell>
          <cell r="E23">
            <v>0.06417799999999986</v>
          </cell>
          <cell r="F23">
            <v>0.0641779999999969</v>
          </cell>
          <cell r="G23">
            <v>0.06417799999999958</v>
          </cell>
          <cell r="H23">
            <v>0</v>
          </cell>
          <cell r="I23">
            <v>0</v>
          </cell>
          <cell r="J23">
            <v>0.06417799999999994</v>
          </cell>
          <cell r="K23">
            <v>0.0641779999999973</v>
          </cell>
          <cell r="L23">
            <v>0.06417799999999957</v>
          </cell>
          <cell r="M23">
            <v>0.06417799999999976</v>
          </cell>
          <cell r="N23">
            <v>0.06417799999999965</v>
          </cell>
          <cell r="O23">
            <v>0</v>
          </cell>
          <cell r="P23">
            <v>0.06417799999999656</v>
          </cell>
          <cell r="Q23">
            <v>0.06417799999999914</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row>
        <row r="24">
          <cell r="A24" t="str">
            <v>Other NII</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-5148.289016228892</v>
          </cell>
          <cell r="V24">
            <v>-5148.289016228892</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-5148.289016228892</v>
          </cell>
          <cell r="AP24">
            <v>0</v>
          </cell>
          <cell r="AQ24">
            <v>0</v>
          </cell>
          <cell r="AR24">
            <v>-5148.289016228892</v>
          </cell>
          <cell r="AS24">
            <v>0</v>
          </cell>
          <cell r="AT24">
            <v>0</v>
          </cell>
          <cell r="AU24">
            <v>0</v>
          </cell>
          <cell r="AV24">
            <v>0</v>
          </cell>
          <cell r="AW24">
            <v>0</v>
          </cell>
          <cell r="AX24">
            <v>10226.687233514152</v>
          </cell>
          <cell r="AY24">
            <v>62071.25887749829</v>
          </cell>
          <cell r="AZ24">
            <v>67149.65709478354</v>
          </cell>
        </row>
        <row r="25">
          <cell r="A25" t="str">
            <v>Deferrals</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row>
        <row r="26">
          <cell r="A26" t="str">
            <v>TOTAL NII</v>
          </cell>
          <cell r="B26">
            <v>40799.33111961279</v>
          </cell>
          <cell r="C26">
            <v>594380.5662549632</v>
          </cell>
          <cell r="D26">
            <v>154879.51010218885</v>
          </cell>
          <cell r="E26">
            <v>28248.592624926798</v>
          </cell>
          <cell r="F26">
            <v>8564.869708340811</v>
          </cell>
          <cell r="G26">
            <v>19715.353032244915</v>
          </cell>
          <cell r="H26">
            <v>17412</v>
          </cell>
          <cell r="I26">
            <v>0</v>
          </cell>
          <cell r="J26">
            <v>-956.413117235863</v>
          </cell>
          <cell r="K26">
            <v>7082.861791874395</v>
          </cell>
          <cell r="L26">
            <v>27948.041230685903</v>
          </cell>
          <cell r="M26">
            <v>14985.303891089417</v>
          </cell>
          <cell r="N26">
            <v>15093.77123887357</v>
          </cell>
          <cell r="O26">
            <v>0</v>
          </cell>
          <cell r="P26">
            <v>-25.83243535973952</v>
          </cell>
          <cell r="Q26">
            <v>764.8113569182708</v>
          </cell>
          <cell r="R26">
            <v>119.87167000000056</v>
          </cell>
          <cell r="S26">
            <v>0</v>
          </cell>
          <cell r="T26">
            <v>0</v>
          </cell>
          <cell r="U26">
            <v>456555.36857377144</v>
          </cell>
          <cell r="V26">
            <v>326664.0326037712</v>
          </cell>
          <cell r="W26">
            <v>735.3408099999999</v>
          </cell>
          <cell r="X26">
            <v>127353.03584000014</v>
          </cell>
          <cell r="Y26">
            <v>1802.9593200000018</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1385598.2867077899</v>
          </cell>
          <cell r="AP26">
            <v>73307</v>
          </cell>
          <cell r="AQ26">
            <v>3</v>
          </cell>
          <cell r="AR26">
            <v>1458908.2867077899</v>
          </cell>
          <cell r="AS26">
            <v>28.48887897686138</v>
          </cell>
          <cell r="AT26">
            <v>4375</v>
          </cell>
          <cell r="AU26">
            <v>0</v>
          </cell>
          <cell r="AV26">
            <v>0</v>
          </cell>
          <cell r="AW26">
            <v>0</v>
          </cell>
          <cell r="AX26">
            <v>10226.687233514152</v>
          </cell>
          <cell r="AY26">
            <v>62071.25887749829</v>
          </cell>
          <cell r="AZ26">
            <v>1535609.7216977794</v>
          </cell>
        </row>
        <row r="27">
          <cell r="A27" t="str">
            <v>TOTAL NII1</v>
          </cell>
          <cell r="B27">
            <v>0.0697431008765502</v>
          </cell>
          <cell r="C27">
            <v>0.29548877133636686</v>
          </cell>
          <cell r="D27">
            <v>0.29461419236682374</v>
          </cell>
          <cell r="E27">
            <v>0.02831942637309771</v>
          </cell>
          <cell r="F27">
            <v>0.044044412839471116</v>
          </cell>
          <cell r="G27">
            <v>0.046213379848336504</v>
          </cell>
          <cell r="H27">
            <v>0.03306336664863338</v>
          </cell>
          <cell r="I27">
            <v>0</v>
          </cell>
          <cell r="J27">
            <v>-0.04699546576805448</v>
          </cell>
          <cell r="K27">
            <v>0.06578516631420882</v>
          </cell>
          <cell r="L27">
            <v>0.1816120153806059</v>
          </cell>
          <cell r="M27">
            <v>0.17974886237480822</v>
          </cell>
          <cell r="N27">
            <v>0.1801203136603893</v>
          </cell>
          <cell r="O27">
            <v>0</v>
          </cell>
          <cell r="P27">
            <v>-0.0036415601446460003</v>
          </cell>
          <cell r="Q27">
            <v>0.15254512879661314</v>
          </cell>
          <cell r="R27">
            <v>0.01705190546986909</v>
          </cell>
          <cell r="S27">
            <v>0</v>
          </cell>
          <cell r="T27">
            <v>0</v>
          </cell>
          <cell r="U27">
            <v>0.041427920094339016</v>
          </cell>
          <cell r="V27">
            <v>0.07039714471879832</v>
          </cell>
          <cell r="W27">
            <v>0.0015041917794018332</v>
          </cell>
          <cell r="X27">
            <v>0.023674634222708317</v>
          </cell>
          <cell r="Y27">
            <v>0.0035213452368098395</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0.5598403871126005</v>
          </cell>
          <cell r="AY27">
            <v>0</v>
          </cell>
          <cell r="AZ27">
            <v>0</v>
          </cell>
        </row>
        <row r="28">
          <cell r="A28" t="str">
            <v>Fees</v>
          </cell>
          <cell r="B28">
            <v>6555.7221700000955</v>
          </cell>
          <cell r="C28">
            <v>188402.74101483577</v>
          </cell>
          <cell r="D28">
            <v>21599.684850000005</v>
          </cell>
          <cell r="E28">
            <v>8337.424009999999</v>
          </cell>
          <cell r="F28">
            <v>0</v>
          </cell>
          <cell r="G28">
            <v>0</v>
          </cell>
          <cell r="H28">
            <v>-6728</v>
          </cell>
          <cell r="I28">
            <v>0</v>
          </cell>
          <cell r="J28">
            <v>0</v>
          </cell>
          <cell r="K28">
            <v>27798.632840000006</v>
          </cell>
          <cell r="L28">
            <v>1681.5829199999998</v>
          </cell>
          <cell r="M28">
            <v>355.68054000000006</v>
          </cell>
          <cell r="N28">
            <v>1316.2118100000007</v>
          </cell>
          <cell r="O28">
            <v>0</v>
          </cell>
          <cell r="P28">
            <v>26.252720000000025</v>
          </cell>
          <cell r="Q28">
            <v>3531.0976800408607</v>
          </cell>
          <cell r="R28">
            <v>0</v>
          </cell>
          <cell r="S28">
            <v>0</v>
          </cell>
          <cell r="T28">
            <v>214.40981999999974</v>
          </cell>
          <cell r="U28">
            <v>146583.01880446007</v>
          </cell>
          <cell r="V28">
            <v>113656.41141554073</v>
          </cell>
          <cell r="W28">
            <v>0</v>
          </cell>
          <cell r="X28">
            <v>0</v>
          </cell>
          <cell r="Y28">
            <v>0</v>
          </cell>
          <cell r="Z28">
            <v>24160.15031184863</v>
          </cell>
          <cell r="AA28">
            <v>8766.45707707071</v>
          </cell>
          <cell r="AB28">
            <v>70427.3361187799</v>
          </cell>
          <cell r="AC28">
            <v>23092.30569000001</v>
          </cell>
          <cell r="AD28">
            <v>9148.087745268233</v>
          </cell>
          <cell r="AE28">
            <v>0</v>
          </cell>
          <cell r="AF28">
            <v>0</v>
          </cell>
          <cell r="AG28">
            <v>-819.3908100000001</v>
          </cell>
          <cell r="AH28">
            <v>1924.3963042576888</v>
          </cell>
          <cell r="AI28">
            <v>3151.44490080216</v>
          </cell>
          <cell r="AJ28">
            <v>2139.7678608320794</v>
          </cell>
          <cell r="AK28">
            <v>0</v>
          </cell>
          <cell r="AL28">
            <v>1728.6154672149569</v>
          </cell>
          <cell r="AM28">
            <v>0</v>
          </cell>
          <cell r="AN28">
            <v>0</v>
          </cell>
          <cell r="AO28">
            <v>510458.3807916199</v>
          </cell>
          <cell r="AP28">
            <v>-36462</v>
          </cell>
          <cell r="AQ28">
            <v>47273</v>
          </cell>
          <cell r="AR28">
            <v>521269.3807916199</v>
          </cell>
          <cell r="AS28">
            <v>-0.7304840763297789</v>
          </cell>
          <cell r="AT28">
            <v>0</v>
          </cell>
          <cell r="AU28">
            <v>0</v>
          </cell>
          <cell r="AV28">
            <v>0</v>
          </cell>
          <cell r="AW28">
            <v>0</v>
          </cell>
          <cell r="AX28">
            <v>43909.82402855018</v>
          </cell>
          <cell r="AY28">
            <v>-12709.398634413752</v>
          </cell>
          <cell r="AZ28">
            <v>552469.07570168</v>
          </cell>
        </row>
        <row r="29">
          <cell r="A29" t="str">
            <v>Dealing Profit</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14426.497207000008</v>
          </cell>
          <cell r="AF29">
            <v>-1526.8991</v>
          </cell>
          <cell r="AG29">
            <v>0</v>
          </cell>
          <cell r="AH29">
            <v>0</v>
          </cell>
          <cell r="AI29">
            <v>0</v>
          </cell>
          <cell r="AJ29">
            <v>0</v>
          </cell>
          <cell r="AK29">
            <v>2051.6181080000006</v>
          </cell>
          <cell r="AL29">
            <v>-29203.905000000006</v>
          </cell>
          <cell r="AM29">
            <v>0</v>
          </cell>
          <cell r="AN29">
            <v>0</v>
          </cell>
          <cell r="AO29">
            <v>-14252.688784999998</v>
          </cell>
          <cell r="AP29">
            <v>1956</v>
          </cell>
          <cell r="AQ29">
            <v>7698</v>
          </cell>
          <cell r="AR29">
            <v>-4598.6887849999985</v>
          </cell>
          <cell r="AS29">
            <v>-5881.85778260738</v>
          </cell>
          <cell r="AT29">
            <v>-5738.408021014067</v>
          </cell>
          <cell r="AU29">
            <v>0</v>
          </cell>
          <cell r="AV29">
            <v>0</v>
          </cell>
          <cell r="AW29">
            <v>0</v>
          </cell>
          <cell r="AX29">
            <v>5804.077382180549</v>
          </cell>
          <cell r="AY29">
            <v>-719.1751017769111</v>
          </cell>
          <cell r="AZ29">
            <v>-11134.052308217808</v>
          </cell>
        </row>
        <row r="30">
          <cell r="A30" t="str">
            <v>Other Income</v>
          </cell>
          <cell r="B30">
            <v>0</v>
          </cell>
          <cell r="C30">
            <v>0</v>
          </cell>
          <cell r="D30">
            <v>114.71718000000001</v>
          </cell>
          <cell r="E30">
            <v>0</v>
          </cell>
          <cell r="F30">
            <v>0</v>
          </cell>
          <cell r="G30">
            <v>0</v>
          </cell>
          <cell r="H30">
            <v>0</v>
          </cell>
          <cell r="I30">
            <v>0</v>
          </cell>
          <cell r="J30">
            <v>0</v>
          </cell>
          <cell r="K30">
            <v>3378.397659999999</v>
          </cell>
          <cell r="L30">
            <v>0</v>
          </cell>
          <cell r="M30">
            <v>0</v>
          </cell>
          <cell r="N30">
            <v>0</v>
          </cell>
          <cell r="O30">
            <v>0</v>
          </cell>
          <cell r="P30">
            <v>0</v>
          </cell>
          <cell r="Q30">
            <v>0</v>
          </cell>
          <cell r="R30">
            <v>0</v>
          </cell>
          <cell r="S30">
            <v>0</v>
          </cell>
          <cell r="T30">
            <v>0</v>
          </cell>
          <cell r="U30">
            <v>700.34382</v>
          </cell>
          <cell r="V30">
            <v>700.34382</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4304.149909851949</v>
          </cell>
          <cell r="AM30">
            <v>0</v>
          </cell>
          <cell r="AN30">
            <v>0</v>
          </cell>
          <cell r="AO30">
            <v>8497.60856985195</v>
          </cell>
          <cell r="AP30">
            <v>169631</v>
          </cell>
          <cell r="AQ30">
            <v>3</v>
          </cell>
          <cell r="AR30">
            <v>178131.60856985196</v>
          </cell>
          <cell r="AS30">
            <v>25459.561512321787</v>
          </cell>
          <cell r="AT30">
            <v>-2163</v>
          </cell>
          <cell r="AU30">
            <v>0</v>
          </cell>
          <cell r="AV30">
            <v>0</v>
          </cell>
          <cell r="AW30">
            <v>0</v>
          </cell>
          <cell r="AX30">
            <v>66122.04284704902</v>
          </cell>
          <cell r="AY30">
            <v>-70541.66949811578</v>
          </cell>
          <cell r="AZ30">
            <v>197008.54343110695</v>
          </cell>
        </row>
        <row r="31">
          <cell r="A31" t="str">
            <v>Insurance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row>
        <row r="32">
          <cell r="A32" t="str">
            <v>Total Revenue</v>
          </cell>
          <cell r="B32">
            <v>47355.053289612886</v>
          </cell>
          <cell r="C32">
            <v>782783.3072697989</v>
          </cell>
          <cell r="D32">
            <v>176593.91213218885</v>
          </cell>
          <cell r="E32">
            <v>36586.0166349268</v>
          </cell>
          <cell r="F32">
            <v>8564.869708340811</v>
          </cell>
          <cell r="G32">
            <v>19715.353032244915</v>
          </cell>
          <cell r="H32">
            <v>10684</v>
          </cell>
          <cell r="I32">
            <v>0</v>
          </cell>
          <cell r="J32">
            <v>-956.413117235863</v>
          </cell>
          <cell r="K32">
            <v>38259.8922918744</v>
          </cell>
          <cell r="L32">
            <v>29629.624150685904</v>
          </cell>
          <cell r="M32">
            <v>15340.984431089417</v>
          </cell>
          <cell r="N32">
            <v>16409.98304887357</v>
          </cell>
          <cell r="O32">
            <v>0</v>
          </cell>
          <cell r="P32">
            <v>0.4202846402605047</v>
          </cell>
          <cell r="Q32">
            <v>4295.909036959131</v>
          </cell>
          <cell r="R32">
            <v>119.87167000000056</v>
          </cell>
          <cell r="S32">
            <v>0</v>
          </cell>
          <cell r="T32">
            <v>214.40981999999974</v>
          </cell>
          <cell r="U32">
            <v>603838.7311982315</v>
          </cell>
          <cell r="V32">
            <v>441020.78783931193</v>
          </cell>
          <cell r="W32">
            <v>735.3408099999999</v>
          </cell>
          <cell r="X32">
            <v>127353.03584000014</v>
          </cell>
          <cell r="Y32">
            <v>1802.9593200000018</v>
          </cell>
          <cell r="Z32">
            <v>24160.15031184863</v>
          </cell>
          <cell r="AA32">
            <v>8766.45707707071</v>
          </cell>
          <cell r="AB32">
            <v>70427.3361187799</v>
          </cell>
          <cell r="AC32">
            <v>23092.30569000001</v>
          </cell>
          <cell r="AD32">
            <v>9148.087745268233</v>
          </cell>
          <cell r="AE32">
            <v>14426.497207000008</v>
          </cell>
          <cell r="AF32">
            <v>-1526.8991</v>
          </cell>
          <cell r="AG32">
            <v>-819.3908100000001</v>
          </cell>
          <cell r="AH32">
            <v>1924.3963042576888</v>
          </cell>
          <cell r="AI32">
            <v>3151.44490080216</v>
          </cell>
          <cell r="AJ32">
            <v>2139.7678608320794</v>
          </cell>
          <cell r="AK32">
            <v>2051.6181080000006</v>
          </cell>
          <cell r="AL32">
            <v>-23171.1396229331</v>
          </cell>
          <cell r="AM32">
            <v>0</v>
          </cell>
          <cell r="AN32">
            <v>0</v>
          </cell>
          <cell r="AO32">
            <v>1890301.5872842618</v>
          </cell>
          <cell r="AP32">
            <v>208432</v>
          </cell>
          <cell r="AQ32">
            <v>54977</v>
          </cell>
          <cell r="AR32">
            <v>2153710.587284262</v>
          </cell>
          <cell r="AS32">
            <v>19605.46212461494</v>
          </cell>
          <cell r="AT32">
            <v>-3526.4080210140673</v>
          </cell>
          <cell r="AU32">
            <v>0</v>
          </cell>
          <cell r="AV32">
            <v>0</v>
          </cell>
          <cell r="AW32">
            <v>0</v>
          </cell>
          <cell r="AX32">
            <v>126062.6314912939</v>
          </cell>
          <cell r="AY32">
            <v>-21898.984356808156</v>
          </cell>
          <cell r="AZ32">
            <v>2273953.2885223487</v>
          </cell>
        </row>
        <row r="33">
          <cell r="A33" t="str">
            <v>Total Revenue1</v>
          </cell>
          <cell r="B33">
            <v>0.08094956872967546</v>
          </cell>
          <cell r="C33">
            <v>0.38915080811802905</v>
          </cell>
          <cell r="D33">
            <v>0.3359196627455459</v>
          </cell>
          <cell r="E33">
            <v>0.036677756592499354</v>
          </cell>
          <cell r="F33">
            <v>0.044044412839471116</v>
          </cell>
          <cell r="G33">
            <v>0.046213379848336504</v>
          </cell>
          <cell r="H33">
            <v>0.020287675699172933</v>
          </cell>
          <cell r="I33">
            <v>0</v>
          </cell>
          <cell r="J33">
            <v>-0.04699546576805448</v>
          </cell>
          <cell r="K33">
            <v>0.3553554271625279</v>
          </cell>
          <cell r="L33">
            <v>0.19253928075172932</v>
          </cell>
          <cell r="M33">
            <v>0.18401525382729478</v>
          </cell>
          <cell r="N33">
            <v>0.19582722217972112</v>
          </cell>
          <cell r="O33">
            <v>0</v>
          </cell>
          <cell r="P33">
            <v>5.9246903130350786E-05</v>
          </cell>
          <cell r="Q33">
            <v>0.8568387373090404</v>
          </cell>
          <cell r="R33">
            <v>0.01705190546986909</v>
          </cell>
          <cell r="S33">
            <v>0</v>
          </cell>
          <cell r="T33">
            <v>0</v>
          </cell>
          <cell r="U33">
            <v>0.054792440146074574</v>
          </cell>
          <cell r="V33">
            <v>0.09504139154242498</v>
          </cell>
          <cell r="W33">
            <v>0.0015041917794018332</v>
          </cell>
          <cell r="X33">
            <v>0.023674634222708317</v>
          </cell>
          <cell r="Y33">
            <v>0.0035213452368098395</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6.90105708750298</v>
          </cell>
          <cell r="AY33">
            <v>0</v>
          </cell>
          <cell r="AZ33">
            <v>0</v>
          </cell>
        </row>
        <row r="34">
          <cell r="A34" t="str">
            <v>LIC's</v>
          </cell>
          <cell r="B34">
            <v>-52826.16705610501</v>
          </cell>
          <cell r="C34">
            <v>-976490.1210333584</v>
          </cell>
          <cell r="D34">
            <v>-130055.5447078303</v>
          </cell>
          <cell r="E34">
            <v>-13249.098926234932</v>
          </cell>
          <cell r="F34">
            <v>-1231.628533323691</v>
          </cell>
          <cell r="G34">
            <v>15424.326561535447</v>
          </cell>
          <cell r="H34">
            <v>-12547.383612442005</v>
          </cell>
          <cell r="I34">
            <v>-54100</v>
          </cell>
          <cell r="J34">
            <v>0</v>
          </cell>
          <cell r="K34">
            <v>-42395.23750338414</v>
          </cell>
          <cell r="L34">
            <v>-34840.66826777959</v>
          </cell>
          <cell r="M34">
            <v>-18030.75284254124</v>
          </cell>
          <cell r="N34">
            <v>-8905.949034497455</v>
          </cell>
          <cell r="O34">
            <v>0</v>
          </cell>
          <cell r="P34">
            <v>0</v>
          </cell>
          <cell r="Q34">
            <v>0</v>
          </cell>
          <cell r="R34">
            <v>0</v>
          </cell>
          <cell r="S34">
            <v>1844.334700199961</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-1327403.8902557613</v>
          </cell>
          <cell r="AP34">
            <v>0</v>
          </cell>
          <cell r="AQ34">
            <v>0</v>
          </cell>
          <cell r="AR34">
            <v>-1327403.8902557613</v>
          </cell>
          <cell r="AS34">
            <v>0</v>
          </cell>
          <cell r="AT34">
            <v>0</v>
          </cell>
          <cell r="AU34">
            <v>0</v>
          </cell>
          <cell r="AV34">
            <v>0</v>
          </cell>
          <cell r="AW34">
            <v>0</v>
          </cell>
          <cell r="AX34">
            <v>0</v>
          </cell>
          <cell r="AY34">
            <v>-62745.25052731566</v>
          </cell>
          <cell r="AZ34">
            <v>-1390149.140783077</v>
          </cell>
        </row>
        <row r="35">
          <cell r="A35" t="str">
            <v>LIC's1</v>
          </cell>
          <cell r="B35">
            <v>-0.09030198772411617</v>
          </cell>
          <cell r="C35">
            <v>-0.4854496974964613</v>
          </cell>
          <cell r="D35">
            <v>-0.24739366260678305</v>
          </cell>
          <cell r="E35">
            <v>-0.013282321230414585</v>
          </cell>
          <cell r="F35">
            <v>-0.006333587950994011</v>
          </cell>
          <cell r="G35">
            <v>0.036155084878632705</v>
          </cell>
          <cell r="H35">
            <v>-0.023826024859822194</v>
          </cell>
          <cell r="I35">
            <v>0</v>
          </cell>
          <cell r="J35">
            <v>0</v>
          </cell>
          <cell r="K35">
            <v>-0.39376424841299057</v>
          </cell>
          <cell r="L35">
            <v>-0.22640169767501395</v>
          </cell>
          <cell r="M35">
            <v>-0.21627905144688456</v>
          </cell>
          <cell r="N35">
            <v>-0.10627843155630322</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row>
        <row r="36">
          <cell r="A36" t="str">
            <v>RAR</v>
          </cell>
          <cell r="B36">
            <v>-5471.113766492126</v>
          </cell>
          <cell r="C36">
            <v>-193706.81376355945</v>
          </cell>
          <cell r="D36">
            <v>46538.367424358556</v>
          </cell>
          <cell r="E36">
            <v>23336.917708691864</v>
          </cell>
          <cell r="F36">
            <v>7333.24117501712</v>
          </cell>
          <cell r="G36">
            <v>35139.67959378036</v>
          </cell>
          <cell r="H36">
            <v>-1863.383612442005</v>
          </cell>
          <cell r="I36">
            <v>-54100</v>
          </cell>
          <cell r="J36">
            <v>-956.413117235863</v>
          </cell>
          <cell r="K36">
            <v>-4135.345211509739</v>
          </cell>
          <cell r="L36">
            <v>-5211.0441170936865</v>
          </cell>
          <cell r="M36">
            <v>-2689.7684114518215</v>
          </cell>
          <cell r="N36">
            <v>7504.034014376117</v>
          </cell>
          <cell r="O36">
            <v>0</v>
          </cell>
          <cell r="P36">
            <v>0.4202846402605047</v>
          </cell>
          <cell r="Q36">
            <v>4295.909036959131</v>
          </cell>
          <cell r="R36">
            <v>119.87167000000056</v>
          </cell>
          <cell r="S36">
            <v>1844.334700199961</v>
          </cell>
          <cell r="T36">
            <v>214.40981999999974</v>
          </cell>
          <cell r="U36">
            <v>603838.7311982315</v>
          </cell>
          <cell r="V36">
            <v>441020.78783931193</v>
          </cell>
          <cell r="W36">
            <v>735.3408099999999</v>
          </cell>
          <cell r="X36">
            <v>127353.03584000014</v>
          </cell>
          <cell r="Y36">
            <v>1802.9593200000018</v>
          </cell>
          <cell r="Z36">
            <v>24160.15031184863</v>
          </cell>
          <cell r="AA36">
            <v>8766.45707707071</v>
          </cell>
          <cell r="AB36">
            <v>70427.3361187799</v>
          </cell>
          <cell r="AC36">
            <v>23092.30569000001</v>
          </cell>
          <cell r="AD36">
            <v>9148.087745268233</v>
          </cell>
          <cell r="AE36">
            <v>14426.497207000008</v>
          </cell>
          <cell r="AF36">
            <v>-1526.8991</v>
          </cell>
          <cell r="AG36">
            <v>-819.3908100000001</v>
          </cell>
          <cell r="AH36">
            <v>1924.3963042576888</v>
          </cell>
          <cell r="AI36">
            <v>3151.44490080216</v>
          </cell>
          <cell r="AJ36">
            <v>2139.7678608320794</v>
          </cell>
          <cell r="AK36">
            <v>2051.6181080000006</v>
          </cell>
          <cell r="AL36">
            <v>-23171.1396229331</v>
          </cell>
          <cell r="AM36">
            <v>0</v>
          </cell>
          <cell r="AN36">
            <v>0</v>
          </cell>
          <cell r="AO36">
            <v>562897.6970285005</v>
          </cell>
          <cell r="AP36">
            <v>208432</v>
          </cell>
          <cell r="AQ36">
            <v>54977</v>
          </cell>
          <cell r="AR36">
            <v>826306.6970285005</v>
          </cell>
          <cell r="AS36">
            <v>19605.46212461494</v>
          </cell>
          <cell r="AT36">
            <v>-3526.4080210140673</v>
          </cell>
          <cell r="AU36">
            <v>0</v>
          </cell>
          <cell r="AV36">
            <v>0</v>
          </cell>
          <cell r="AW36">
            <v>0</v>
          </cell>
          <cell r="AX36">
            <v>126062.6314912939</v>
          </cell>
          <cell r="AY36">
            <v>-84644.23488412381</v>
          </cell>
          <cell r="AZ36">
            <v>883804.1477392716</v>
          </cell>
        </row>
        <row r="37">
          <cell r="A37" t="str">
            <v>RAR1</v>
          </cell>
          <cell r="B37">
            <v>-0.009352418994440717</v>
          </cell>
          <cell r="C37">
            <v>-0.09629888937843226</v>
          </cell>
          <cell r="D37">
            <v>0.08852600013876286</v>
          </cell>
          <cell r="E37">
            <v>0.023395435362084768</v>
          </cell>
          <cell r="F37">
            <v>0.03771082488847711</v>
          </cell>
          <cell r="G37">
            <v>0.08236846472696921</v>
          </cell>
          <cell r="H37">
            <v>-0.0035383491606492635</v>
          </cell>
          <cell r="I37">
            <v>0</v>
          </cell>
          <cell r="J37">
            <v>-0.04699546576805448</v>
          </cell>
          <cell r="K37">
            <v>-0.038408821250462646</v>
          </cell>
          <cell r="L37">
            <v>-0.03386241692328461</v>
          </cell>
          <cell r="M37">
            <v>-0.032263797619589765</v>
          </cell>
          <cell r="N37">
            <v>0.0895487906234179</v>
          </cell>
          <cell r="O37">
            <v>0</v>
          </cell>
          <cell r="P37">
            <v>5.9246903130350786E-05</v>
          </cell>
          <cell r="Q37">
            <v>0.8568387373090404</v>
          </cell>
          <cell r="R37">
            <v>0.01705190546986909</v>
          </cell>
          <cell r="S37">
            <v>0</v>
          </cell>
          <cell r="T37">
            <v>0</v>
          </cell>
          <cell r="U37">
            <v>0.054792440146074574</v>
          </cell>
          <cell r="V37">
            <v>0.09504139154242498</v>
          </cell>
          <cell r="W37">
            <v>0.0015041917794018332</v>
          </cell>
          <cell r="X37">
            <v>0.023674634222708317</v>
          </cell>
          <cell r="Y37">
            <v>0.0035213452368098395</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6.90105708750298</v>
          </cell>
          <cell r="AY37">
            <v>0</v>
          </cell>
          <cell r="AZ37">
            <v>0</v>
          </cell>
        </row>
        <row r="39">
          <cell r="A39" t="str">
            <v>Direct Cost</v>
          </cell>
          <cell r="B39">
            <v>6271.819767999999</v>
          </cell>
          <cell r="C39">
            <v>52638.51735040001</v>
          </cell>
          <cell r="D39">
            <v>6271.819767999999</v>
          </cell>
          <cell r="E39">
            <v>5800.2288097222045</v>
          </cell>
          <cell r="F39">
            <v>1156.6115205829456</v>
          </cell>
          <cell r="G39">
            <v>2396.1965596948558</v>
          </cell>
          <cell r="H39">
            <v>0</v>
          </cell>
          <cell r="I39">
            <v>0</v>
          </cell>
          <cell r="J39">
            <v>0</v>
          </cell>
          <cell r="K39">
            <v>3135.9098839999997</v>
          </cell>
          <cell r="L39">
            <v>0</v>
          </cell>
          <cell r="M39">
            <v>0</v>
          </cell>
          <cell r="N39">
            <v>0</v>
          </cell>
          <cell r="O39">
            <v>0</v>
          </cell>
          <cell r="P39">
            <v>0</v>
          </cell>
          <cell r="Q39">
            <v>0</v>
          </cell>
          <cell r="R39">
            <v>0</v>
          </cell>
          <cell r="S39">
            <v>0</v>
          </cell>
          <cell r="T39">
            <v>0</v>
          </cell>
          <cell r="U39">
            <v>15451.501889999996</v>
          </cell>
          <cell r="V39">
            <v>6503.175871439567</v>
          </cell>
          <cell r="W39">
            <v>725.294226231309</v>
          </cell>
          <cell r="X39">
            <v>7448.945250894052</v>
          </cell>
          <cell r="Y39">
            <v>774.0865414350667</v>
          </cell>
          <cell r="Z39">
            <v>0</v>
          </cell>
          <cell r="AA39">
            <v>0</v>
          </cell>
          <cell r="AB39">
            <v>0</v>
          </cell>
          <cell r="AC39">
            <v>2439.178689800001</v>
          </cell>
          <cell r="AD39">
            <v>9770.838569800006</v>
          </cell>
          <cell r="AE39">
            <v>0</v>
          </cell>
          <cell r="AF39">
            <v>0</v>
          </cell>
          <cell r="AG39">
            <v>0</v>
          </cell>
          <cell r="AH39">
            <v>0</v>
          </cell>
          <cell r="AI39">
            <v>0</v>
          </cell>
          <cell r="AJ39">
            <v>0</v>
          </cell>
          <cell r="AK39">
            <v>0</v>
          </cell>
          <cell r="AL39">
            <v>0</v>
          </cell>
          <cell r="AM39">
            <v>-2450.37345</v>
          </cell>
          <cell r="AN39">
            <v>0</v>
          </cell>
          <cell r="AO39">
            <v>102882.24936000002</v>
          </cell>
          <cell r="AP39">
            <v>0</v>
          </cell>
          <cell r="AQ39">
            <v>0</v>
          </cell>
          <cell r="AR39">
            <v>102882.24936000002</v>
          </cell>
          <cell r="AS39">
            <v>0</v>
          </cell>
          <cell r="AT39">
            <v>0</v>
          </cell>
          <cell r="AU39">
            <v>0</v>
          </cell>
          <cell r="AV39">
            <v>3860.7952399999995</v>
          </cell>
          <cell r="AW39">
            <v>0</v>
          </cell>
          <cell r="AX39">
            <v>0</v>
          </cell>
          <cell r="AY39">
            <v>0</v>
          </cell>
          <cell r="AZ39">
            <v>106743.04460000002</v>
          </cell>
        </row>
        <row r="40">
          <cell r="A40" t="str">
            <v>Fuerza Móvil</v>
          </cell>
          <cell r="B40">
            <v>6915.57072385</v>
          </cell>
          <cell r="C40">
            <v>5872.528286950001</v>
          </cell>
          <cell r="D40">
            <v>1535.1262403</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13370.2536419</v>
          </cell>
          <cell r="V40">
            <v>246.18312200000037</v>
          </cell>
          <cell r="W40">
            <v>0</v>
          </cell>
          <cell r="X40">
            <v>6562.03525995</v>
          </cell>
          <cell r="Y40">
            <v>0</v>
          </cell>
          <cell r="Z40">
            <v>6562.03525995</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27693.478893</v>
          </cell>
          <cell r="AP40">
            <v>0</v>
          </cell>
          <cell r="AQ40">
            <v>0</v>
          </cell>
          <cell r="AR40">
            <v>27693.478893</v>
          </cell>
          <cell r="AS40">
            <v>0</v>
          </cell>
          <cell r="AT40">
            <v>0</v>
          </cell>
          <cell r="AU40">
            <v>0</v>
          </cell>
          <cell r="AV40">
            <v>0</v>
          </cell>
          <cell r="AW40">
            <v>0</v>
          </cell>
          <cell r="AX40">
            <v>680.5755700000152</v>
          </cell>
          <cell r="AY40">
            <v>0</v>
          </cell>
          <cell r="AZ40">
            <v>28374.054463000015</v>
          </cell>
        </row>
        <row r="41">
          <cell r="A41" t="str">
            <v>Frauds</v>
          </cell>
          <cell r="B41">
            <v>3345.8413999999975</v>
          </cell>
          <cell r="C41">
            <v>45779.602487058844</v>
          </cell>
          <cell r="D41">
            <v>285.1035000000011</v>
          </cell>
          <cell r="E41">
            <v>0</v>
          </cell>
          <cell r="F41">
            <v>0</v>
          </cell>
          <cell r="G41">
            <v>0</v>
          </cell>
          <cell r="H41">
            <v>0</v>
          </cell>
          <cell r="I41">
            <v>0</v>
          </cell>
          <cell r="J41">
            <v>0</v>
          </cell>
          <cell r="K41">
            <v>3463.8020494530633</v>
          </cell>
          <cell r="L41">
            <v>80</v>
          </cell>
          <cell r="M41">
            <v>4435.2</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1838.6855977600706</v>
          </cell>
          <cell r="AC41">
            <v>3882.07676</v>
          </cell>
          <cell r="AD41">
            <v>3367.8075466718888</v>
          </cell>
          <cell r="AE41">
            <v>0</v>
          </cell>
          <cell r="AF41">
            <v>0</v>
          </cell>
          <cell r="AG41">
            <v>0</v>
          </cell>
          <cell r="AH41">
            <v>0</v>
          </cell>
          <cell r="AI41">
            <v>0</v>
          </cell>
          <cell r="AJ41">
            <v>0</v>
          </cell>
          <cell r="AK41">
            <v>0</v>
          </cell>
          <cell r="AL41">
            <v>0</v>
          </cell>
          <cell r="AM41">
            <v>0</v>
          </cell>
          <cell r="AN41">
            <v>2711.1716185049386</v>
          </cell>
          <cell r="AO41">
            <v>69189.29095944882</v>
          </cell>
          <cell r="AP41">
            <v>0</v>
          </cell>
          <cell r="AQ41">
            <v>0</v>
          </cell>
          <cell r="AR41">
            <v>69189.29095944882</v>
          </cell>
          <cell r="AS41">
            <v>0</v>
          </cell>
          <cell r="AT41">
            <v>0</v>
          </cell>
          <cell r="AU41">
            <v>0</v>
          </cell>
          <cell r="AV41">
            <v>0</v>
          </cell>
          <cell r="AW41">
            <v>0</v>
          </cell>
          <cell r="AX41">
            <v>14850.789870625696</v>
          </cell>
          <cell r="AY41">
            <v>0</v>
          </cell>
          <cell r="AZ41">
            <v>84040.08083007451</v>
          </cell>
        </row>
        <row r="42">
          <cell r="A42" t="str">
            <v>Other cost</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51292</v>
          </cell>
          <cell r="AQ42">
            <v>28069</v>
          </cell>
          <cell r="AR42">
            <v>79361</v>
          </cell>
          <cell r="AS42">
            <v>41249.70530626626</v>
          </cell>
          <cell r="AT42">
            <v>674</v>
          </cell>
          <cell r="AU42">
            <v>0</v>
          </cell>
          <cell r="AV42">
            <v>0</v>
          </cell>
          <cell r="AW42">
            <v>0</v>
          </cell>
          <cell r="AX42">
            <v>57530.31038080882</v>
          </cell>
          <cell r="AY42">
            <v>-50247.57171917311</v>
          </cell>
          <cell r="AZ42">
            <v>128567.44396790199</v>
          </cell>
        </row>
        <row r="43">
          <cell r="A43" t="str">
            <v>Consolidation Effects</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-109291.66593315109</v>
          </cell>
          <cell r="AX43">
            <v>0</v>
          </cell>
          <cell r="AY43">
            <v>0</v>
          </cell>
          <cell r="AZ43">
            <v>-109291.66593315109</v>
          </cell>
        </row>
        <row r="44">
          <cell r="A44" t="str">
            <v>Deferral of origination cost for consumer</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-7463</v>
          </cell>
          <cell r="AZ44">
            <v>-7463</v>
          </cell>
        </row>
        <row r="45">
          <cell r="A45" t="str">
            <v>PTU</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23609.20556189685</v>
          </cell>
          <cell r="AY45">
            <v>0</v>
          </cell>
          <cell r="AZ45">
            <v>23609.20556189685</v>
          </cell>
        </row>
        <row r="46">
          <cell r="A46" t="str">
            <v>Total Direct Cost</v>
          </cell>
          <cell r="B46">
            <v>16533.231891849995</v>
          </cell>
          <cell r="C46">
            <v>104290.64812440885</v>
          </cell>
          <cell r="D46">
            <v>8092.0495083000005</v>
          </cell>
          <cell r="E46">
            <v>5800.2288097222045</v>
          </cell>
          <cell r="F46">
            <v>1156.6115205829456</v>
          </cell>
          <cell r="G46">
            <v>2396.1965596948558</v>
          </cell>
          <cell r="H46">
            <v>0</v>
          </cell>
          <cell r="I46">
            <v>0</v>
          </cell>
          <cell r="J46">
            <v>0</v>
          </cell>
          <cell r="K46">
            <v>6599.7119334530635</v>
          </cell>
          <cell r="L46">
            <v>80</v>
          </cell>
          <cell r="M46">
            <v>4435.2</v>
          </cell>
          <cell r="N46">
            <v>0</v>
          </cell>
          <cell r="O46">
            <v>0</v>
          </cell>
          <cell r="P46">
            <v>0</v>
          </cell>
          <cell r="Q46">
            <v>0</v>
          </cell>
          <cell r="R46">
            <v>0</v>
          </cell>
          <cell r="S46">
            <v>0</v>
          </cell>
          <cell r="T46">
            <v>0</v>
          </cell>
          <cell r="U46">
            <v>28821.755531899995</v>
          </cell>
          <cell r="V46">
            <v>6749.358993439568</v>
          </cell>
          <cell r="W46">
            <v>725.294226231309</v>
          </cell>
          <cell r="X46">
            <v>14010.980510844052</v>
          </cell>
          <cell r="Y46">
            <v>774.0865414350667</v>
          </cell>
          <cell r="Z46">
            <v>6562.03525995</v>
          </cell>
          <cell r="AA46">
            <v>0</v>
          </cell>
          <cell r="AB46">
            <v>1838.6855977600706</v>
          </cell>
          <cell r="AC46">
            <v>6321.255449800001</v>
          </cell>
          <cell r="AD46">
            <v>13138.646116471895</v>
          </cell>
          <cell r="AE46">
            <v>0</v>
          </cell>
          <cell r="AF46">
            <v>0</v>
          </cell>
          <cell r="AG46">
            <v>0</v>
          </cell>
          <cell r="AH46">
            <v>0</v>
          </cell>
          <cell r="AI46">
            <v>0</v>
          </cell>
          <cell r="AJ46">
            <v>0</v>
          </cell>
          <cell r="AK46">
            <v>0</v>
          </cell>
          <cell r="AL46">
            <v>0</v>
          </cell>
          <cell r="AM46">
            <v>-2450.37345</v>
          </cell>
          <cell r="AN46">
            <v>2711.1716185049386</v>
          </cell>
          <cell r="AO46">
            <v>199765.01921244882</v>
          </cell>
          <cell r="AP46">
            <v>51292</v>
          </cell>
          <cell r="AQ46">
            <v>28069</v>
          </cell>
          <cell r="AR46">
            <v>279126.01921244885</v>
          </cell>
          <cell r="AS46">
            <v>41249.70530626626</v>
          </cell>
          <cell r="AT46">
            <v>674</v>
          </cell>
          <cell r="AU46">
            <v>0</v>
          </cell>
          <cell r="AV46">
            <v>3860.7952399999995</v>
          </cell>
          <cell r="AW46">
            <v>-109291.66593315109</v>
          </cell>
          <cell r="AX46">
            <v>96670.88138333138</v>
          </cell>
          <cell r="AY46">
            <v>-57710.57171917311</v>
          </cell>
          <cell r="AZ46">
            <v>254579.1634897223</v>
          </cell>
        </row>
        <row r="47">
          <cell r="A47" t="str">
            <v>Total Direct Cost1</v>
          </cell>
          <cell r="B47">
            <v>0.028262200090196834</v>
          </cell>
          <cell r="C47">
            <v>0.05184677498849436</v>
          </cell>
          <cell r="D47">
            <v>0.01539282135453026</v>
          </cell>
          <cell r="E47">
            <v>0.0058147729660381195</v>
          </cell>
          <cell r="F47">
            <v>0.005947816726019087</v>
          </cell>
          <cell r="G47">
            <v>0.005616756728796266</v>
          </cell>
          <cell r="H47">
            <v>0</v>
          </cell>
          <cell r="I47">
            <v>0</v>
          </cell>
          <cell r="J47">
            <v>0</v>
          </cell>
          <cell r="K47">
            <v>0.06129770139891185</v>
          </cell>
          <cell r="L47">
            <v>0.0005198561541585324</v>
          </cell>
          <cell r="M47">
            <v>0.053200266087282684</v>
          </cell>
          <cell r="N47">
            <v>0</v>
          </cell>
          <cell r="O47">
            <v>0</v>
          </cell>
          <cell r="P47">
            <v>0</v>
          </cell>
          <cell r="Q47">
            <v>0</v>
          </cell>
          <cell r="R47">
            <v>0</v>
          </cell>
          <cell r="S47">
            <v>0</v>
          </cell>
          <cell r="T47">
            <v>0</v>
          </cell>
          <cell r="U47">
            <v>0.0026152915228751556</v>
          </cell>
          <cell r="V47">
            <v>0.0014545084686339083</v>
          </cell>
          <cell r="W47">
            <v>0.0014836407797695174</v>
          </cell>
          <cell r="X47">
            <v>0.002604608806597001</v>
          </cell>
          <cell r="Y47">
            <v>0.0015118621509225025</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5.292062074490901</v>
          </cell>
          <cell r="AY47">
            <v>0</v>
          </cell>
          <cell r="AZ47">
            <v>0</v>
          </cell>
        </row>
        <row r="48">
          <cell r="A48" t="str">
            <v>TRASPASO DE CREDITO A CAPTACION</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row>
        <row r="49">
          <cell r="A49" t="str">
            <v>GASTOS EDO CUENTA, CHEQ. ESPECIALES Y TRASLADO VALORES CLIENTES</v>
          </cell>
          <cell r="B49">
            <v>436.0529508889888</v>
          </cell>
          <cell r="C49">
            <v>2471.69177</v>
          </cell>
          <cell r="D49">
            <v>582.7069042767305</v>
          </cell>
          <cell r="E49">
            <v>41.664697017464164</v>
          </cell>
          <cell r="F49">
            <v>8.308270268790466</v>
          </cell>
          <cell r="G49">
            <v>17.21256297452129</v>
          </cell>
          <cell r="H49">
            <v>0</v>
          </cell>
          <cell r="I49">
            <v>0</v>
          </cell>
          <cell r="J49">
            <v>0</v>
          </cell>
          <cell r="K49">
            <v>0</v>
          </cell>
          <cell r="L49">
            <v>0</v>
          </cell>
          <cell r="M49">
            <v>0</v>
          </cell>
          <cell r="N49">
            <v>0</v>
          </cell>
          <cell r="O49">
            <v>0</v>
          </cell>
          <cell r="P49">
            <v>0</v>
          </cell>
          <cell r="Q49">
            <v>0</v>
          </cell>
          <cell r="R49">
            <v>0</v>
          </cell>
          <cell r="S49">
            <v>0</v>
          </cell>
          <cell r="T49">
            <v>0</v>
          </cell>
          <cell r="U49">
            <v>8501.245734573502</v>
          </cell>
          <cell r="V49">
            <v>3577.9755606823383</v>
          </cell>
          <cell r="W49">
            <v>399.0488750514403</v>
          </cell>
          <cell r="X49">
            <v>4098.3274306957765</v>
          </cell>
          <cell r="Y49">
            <v>425.89386814394766</v>
          </cell>
          <cell r="Z49">
            <v>0</v>
          </cell>
          <cell r="AA49">
            <v>0</v>
          </cell>
          <cell r="AB49">
            <v>0</v>
          </cell>
          <cell r="AC49">
            <v>0</v>
          </cell>
          <cell r="AD49">
            <v>0</v>
          </cell>
          <cell r="AE49">
            <v>0</v>
          </cell>
          <cell r="AF49">
            <v>0</v>
          </cell>
          <cell r="AG49">
            <v>0</v>
          </cell>
          <cell r="AH49">
            <v>0</v>
          </cell>
          <cell r="AI49">
            <v>0</v>
          </cell>
          <cell r="AJ49">
            <v>0</v>
          </cell>
          <cell r="AK49">
            <v>0</v>
          </cell>
          <cell r="AL49">
            <v>34.553146</v>
          </cell>
          <cell r="AM49">
            <v>0</v>
          </cell>
          <cell r="AN49">
            <v>0</v>
          </cell>
          <cell r="AO49">
            <v>12093.436035999997</v>
          </cell>
          <cell r="AP49">
            <v>0</v>
          </cell>
          <cell r="AQ49">
            <v>0</v>
          </cell>
          <cell r="AR49">
            <v>12093.436035999997</v>
          </cell>
          <cell r="AS49">
            <v>0</v>
          </cell>
          <cell r="AT49">
            <v>0</v>
          </cell>
          <cell r="AU49">
            <v>0</v>
          </cell>
          <cell r="AV49">
            <v>0</v>
          </cell>
          <cell r="AW49">
            <v>0</v>
          </cell>
          <cell r="AX49">
            <v>0</v>
          </cell>
          <cell r="AY49">
            <v>0</v>
          </cell>
          <cell r="AZ49">
            <v>12093.436035999997</v>
          </cell>
        </row>
        <row r="50">
          <cell r="A50" t="str">
            <v>GASTOS DEL AREA DE NOMINA</v>
          </cell>
          <cell r="B50">
            <v>73.57592528</v>
          </cell>
          <cell r="C50">
            <v>625.3953648800004</v>
          </cell>
          <cell r="D50">
            <v>1361.1546176800002</v>
          </cell>
          <cell r="E50">
            <v>68.44149229764622</v>
          </cell>
          <cell r="F50">
            <v>13.647775126501926</v>
          </cell>
          <cell r="G50">
            <v>28.274620495851877</v>
          </cell>
          <cell r="H50">
            <v>0</v>
          </cell>
          <cell r="I50">
            <v>0</v>
          </cell>
          <cell r="J50">
            <v>0</v>
          </cell>
          <cell r="K50">
            <v>0</v>
          </cell>
          <cell r="L50">
            <v>0</v>
          </cell>
          <cell r="M50">
            <v>0</v>
          </cell>
          <cell r="N50">
            <v>0</v>
          </cell>
          <cell r="O50">
            <v>0</v>
          </cell>
          <cell r="P50">
            <v>0</v>
          </cell>
          <cell r="Q50">
            <v>0</v>
          </cell>
          <cell r="R50">
            <v>0</v>
          </cell>
          <cell r="S50">
            <v>0</v>
          </cell>
          <cell r="T50">
            <v>0</v>
          </cell>
          <cell r="U50">
            <v>1508.3064682400004</v>
          </cell>
          <cell r="V50">
            <v>634.8109265250591</v>
          </cell>
          <cell r="W50">
            <v>70.79997663591584</v>
          </cell>
          <cell r="X50">
            <v>727.1327009810266</v>
          </cell>
          <cell r="Y50">
            <v>75.56286409799887</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3678.796264000001</v>
          </cell>
          <cell r="AP50">
            <v>0</v>
          </cell>
          <cell r="AQ50">
            <v>0</v>
          </cell>
          <cell r="AR50">
            <v>3678.796264000001</v>
          </cell>
          <cell r="AS50">
            <v>0</v>
          </cell>
          <cell r="AT50">
            <v>0</v>
          </cell>
          <cell r="AU50">
            <v>0</v>
          </cell>
          <cell r="AV50">
            <v>0</v>
          </cell>
          <cell r="AW50">
            <v>0</v>
          </cell>
          <cell r="AX50">
            <v>0</v>
          </cell>
          <cell r="AY50">
            <v>0</v>
          </cell>
          <cell r="AZ50">
            <v>3678.796264000001</v>
          </cell>
        </row>
        <row r="51">
          <cell r="A51" t="str">
            <v>GASTOS DEL AREA PREMIER</v>
          </cell>
          <cell r="B51">
            <v>302.56462276256036</v>
          </cell>
          <cell r="C51">
            <v>3801.9545888968278</v>
          </cell>
          <cell r="D51">
            <v>583.7917304330401</v>
          </cell>
          <cell r="E51">
            <v>997.2770786753899</v>
          </cell>
          <cell r="F51">
            <v>176.7180586934915</v>
          </cell>
          <cell r="G51">
            <v>765.1456969055109</v>
          </cell>
          <cell r="H51">
            <v>0</v>
          </cell>
          <cell r="I51">
            <v>0</v>
          </cell>
          <cell r="J51">
            <v>0</v>
          </cell>
          <cell r="K51">
            <v>159.0156618869521</v>
          </cell>
          <cell r="L51">
            <v>695.7146506734873</v>
          </cell>
          <cell r="M51">
            <v>776.2939791861954</v>
          </cell>
          <cell r="N51">
            <v>151.22550694706206</v>
          </cell>
          <cell r="O51">
            <v>0</v>
          </cell>
          <cell r="P51">
            <v>16.72779369637986</v>
          </cell>
          <cell r="Q51">
            <v>22.259710966878295</v>
          </cell>
          <cell r="R51">
            <v>0</v>
          </cell>
          <cell r="S51">
            <v>0</v>
          </cell>
          <cell r="T51">
            <v>0</v>
          </cell>
          <cell r="U51">
            <v>9135.943900513666</v>
          </cell>
          <cell r="V51">
            <v>6117.287358074194</v>
          </cell>
          <cell r="W51">
            <v>27.092411374309222</v>
          </cell>
          <cell r="X51">
            <v>2916.5867688808357</v>
          </cell>
          <cell r="Y51">
            <v>74.97736218432613</v>
          </cell>
          <cell r="Z51">
            <v>0</v>
          </cell>
          <cell r="AA51">
            <v>0</v>
          </cell>
          <cell r="AB51">
            <v>0</v>
          </cell>
          <cell r="AC51">
            <v>0</v>
          </cell>
          <cell r="AD51">
            <v>0</v>
          </cell>
          <cell r="AE51">
            <v>0</v>
          </cell>
          <cell r="AF51">
            <v>0</v>
          </cell>
          <cell r="AG51">
            <v>0</v>
          </cell>
          <cell r="AH51">
            <v>0</v>
          </cell>
          <cell r="AI51">
            <v>0</v>
          </cell>
          <cell r="AJ51">
            <v>0</v>
          </cell>
          <cell r="AK51">
            <v>0</v>
          </cell>
          <cell r="AL51">
            <v>116.954762592826</v>
          </cell>
          <cell r="AM51">
            <v>0</v>
          </cell>
          <cell r="AN51">
            <v>0</v>
          </cell>
          <cell r="AO51">
            <v>17703.582913000002</v>
          </cell>
          <cell r="AP51">
            <v>0</v>
          </cell>
          <cell r="AQ51">
            <v>0</v>
          </cell>
          <cell r="AR51">
            <v>17703.582913000002</v>
          </cell>
          <cell r="AS51">
            <v>0</v>
          </cell>
          <cell r="AT51">
            <v>0</v>
          </cell>
          <cell r="AU51">
            <v>0</v>
          </cell>
          <cell r="AV51">
            <v>0</v>
          </cell>
          <cell r="AW51">
            <v>0</v>
          </cell>
          <cell r="AX51">
            <v>0</v>
          </cell>
          <cell r="AY51">
            <v>0</v>
          </cell>
          <cell r="AZ51">
            <v>17703.582913000002</v>
          </cell>
        </row>
        <row r="52">
          <cell r="A52" t="str">
            <v>NOMINA DE PERSONAL EXTERNO CALL CENTER</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A53" t="str">
            <v>GASTO DGA</v>
          </cell>
          <cell r="B53">
            <v>1292.8174086895206</v>
          </cell>
          <cell r="C53">
            <v>8155.015688445779</v>
          </cell>
          <cell r="D53">
            <v>632.7584675966893</v>
          </cell>
          <cell r="E53">
            <v>453.54936219625574</v>
          </cell>
          <cell r="F53">
            <v>90.44133165745933</v>
          </cell>
          <cell r="G53">
            <v>187.3707843257506</v>
          </cell>
          <cell r="H53">
            <v>0</v>
          </cell>
          <cell r="I53">
            <v>0</v>
          </cell>
          <cell r="J53">
            <v>0</v>
          </cell>
          <cell r="K53">
            <v>516.0650098974312</v>
          </cell>
          <cell r="L53">
            <v>6.255606488296166</v>
          </cell>
          <cell r="M53">
            <v>346.8108237111384</v>
          </cell>
          <cell r="N53">
            <v>0</v>
          </cell>
          <cell r="O53">
            <v>0</v>
          </cell>
          <cell r="P53">
            <v>0</v>
          </cell>
          <cell r="Q53">
            <v>0</v>
          </cell>
          <cell r="R53">
            <v>0</v>
          </cell>
          <cell r="S53">
            <v>0</v>
          </cell>
          <cell r="T53">
            <v>0</v>
          </cell>
          <cell r="U53">
            <v>2253.7195113679873</v>
          </cell>
          <cell r="V53">
            <v>527.7666738900066</v>
          </cell>
          <cell r="W53">
            <v>56.714440844203864</v>
          </cell>
          <cell r="X53">
            <v>1095.5897573878365</v>
          </cell>
          <cell r="Y53">
            <v>60.52975988879912</v>
          </cell>
          <cell r="Z53">
            <v>513.1188793571414</v>
          </cell>
          <cell r="AA53">
            <v>0</v>
          </cell>
          <cell r="AB53">
            <v>143.77616944105648</v>
          </cell>
          <cell r="AC53">
            <v>494.29108257432813</v>
          </cell>
          <cell r="AD53">
            <v>1027.3774986703575</v>
          </cell>
          <cell r="AE53">
            <v>0</v>
          </cell>
          <cell r="AF53">
            <v>0</v>
          </cell>
          <cell r="AG53">
            <v>0</v>
          </cell>
          <cell r="AH53">
            <v>0</v>
          </cell>
          <cell r="AI53">
            <v>0</v>
          </cell>
          <cell r="AJ53">
            <v>0</v>
          </cell>
          <cell r="AK53">
            <v>0</v>
          </cell>
          <cell r="AL53">
            <v>0</v>
          </cell>
          <cell r="AM53">
            <v>-191.6071506571077</v>
          </cell>
          <cell r="AN53">
            <v>212.00028459504827</v>
          </cell>
          <cell r="AO53">
            <v>15620.641878999988</v>
          </cell>
          <cell r="AP53">
            <v>0</v>
          </cell>
          <cell r="AQ53">
            <v>0</v>
          </cell>
          <cell r="AR53">
            <v>15620.641878999988</v>
          </cell>
          <cell r="AS53">
            <v>0</v>
          </cell>
          <cell r="AT53">
            <v>0</v>
          </cell>
          <cell r="AU53">
            <v>0</v>
          </cell>
          <cell r="AV53">
            <v>0</v>
          </cell>
          <cell r="AW53">
            <v>0</v>
          </cell>
          <cell r="AX53">
            <v>0</v>
          </cell>
          <cell r="AY53">
            <v>0</v>
          </cell>
          <cell r="AZ53">
            <v>15620.641878999988</v>
          </cell>
        </row>
        <row r="54">
          <cell r="A54" t="str">
            <v>Distribución de Seguros</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A55" t="str">
            <v>Intersegment</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5211.135933</v>
          </cell>
          <cell r="V55">
            <v>-120.87032173309967</v>
          </cell>
          <cell r="W55">
            <v>-13.480574446825116</v>
          </cell>
          <cell r="X55">
            <v>-138.44872518394664</v>
          </cell>
          <cell r="Y55">
            <v>-14.387445636128433</v>
          </cell>
          <cell r="Z55">
            <v>246.48900000000003</v>
          </cell>
          <cell r="AA55">
            <v>5251.833999999999</v>
          </cell>
          <cell r="AB55">
            <v>80800.25064</v>
          </cell>
          <cell r="AC55">
            <v>0</v>
          </cell>
          <cell r="AD55">
            <v>-29335.69511</v>
          </cell>
          <cell r="AE55">
            <v>0</v>
          </cell>
          <cell r="AF55">
            <v>0</v>
          </cell>
          <cell r="AG55">
            <v>0</v>
          </cell>
          <cell r="AH55">
            <v>303.571</v>
          </cell>
          <cell r="AI55">
            <v>3113.13</v>
          </cell>
          <cell r="AJ55">
            <v>0</v>
          </cell>
          <cell r="AK55">
            <v>0</v>
          </cell>
          <cell r="AL55">
            <v>0</v>
          </cell>
          <cell r="AM55">
            <v>0</v>
          </cell>
          <cell r="AN55">
            <v>418162.28653599997</v>
          </cell>
          <cell r="AO55">
            <v>478254.678999</v>
          </cell>
          <cell r="AP55">
            <v>0</v>
          </cell>
          <cell r="AQ55">
            <v>0</v>
          </cell>
          <cell r="AR55">
            <v>478254.678999</v>
          </cell>
          <cell r="AS55">
            <v>0</v>
          </cell>
          <cell r="AT55">
            <v>0</v>
          </cell>
          <cell r="AU55">
            <v>0</v>
          </cell>
          <cell r="AV55">
            <v>0</v>
          </cell>
          <cell r="AW55">
            <v>0</v>
          </cell>
          <cell r="AX55">
            <v>0</v>
          </cell>
          <cell r="AY55">
            <v>0</v>
          </cell>
          <cell r="AZ55">
            <v>478464.288999</v>
          </cell>
        </row>
        <row r="56">
          <cell r="A56" t="str">
            <v>Indirect Cost</v>
          </cell>
          <cell r="B56">
            <v>19675.47862208351</v>
          </cell>
          <cell r="C56">
            <v>134384.20781187096</v>
          </cell>
          <cell r="D56">
            <v>19863.14886689841</v>
          </cell>
          <cell r="E56">
            <v>14478.85983431118</v>
          </cell>
          <cell r="F56">
            <v>2887.19921896875</v>
          </cell>
          <cell r="G56">
            <v>5981.521636720074</v>
          </cell>
          <cell r="H56">
            <v>0</v>
          </cell>
          <cell r="I56">
            <v>0</v>
          </cell>
          <cell r="J56">
            <v>0</v>
          </cell>
          <cell r="K56">
            <v>10595.36063401807</v>
          </cell>
          <cell r="L56">
            <v>0</v>
          </cell>
          <cell r="M56">
            <v>0</v>
          </cell>
          <cell r="N56">
            <v>0</v>
          </cell>
          <cell r="O56">
            <v>0</v>
          </cell>
          <cell r="P56">
            <v>0</v>
          </cell>
          <cell r="Q56">
            <v>0</v>
          </cell>
          <cell r="R56">
            <v>0</v>
          </cell>
          <cell r="S56">
            <v>0</v>
          </cell>
          <cell r="T56">
            <v>0</v>
          </cell>
          <cell r="U56">
            <v>26683.572757999995</v>
          </cell>
          <cell r="V56">
            <v>11230.491880917587</v>
          </cell>
          <cell r="W56">
            <v>1252.528161623287</v>
          </cell>
          <cell r="X56">
            <v>12863.763923248633</v>
          </cell>
          <cell r="Y56">
            <v>1336.7887922104892</v>
          </cell>
          <cell r="Z56">
            <v>0</v>
          </cell>
          <cell r="AA56">
            <v>0</v>
          </cell>
          <cell r="AB56">
            <v>0</v>
          </cell>
          <cell r="AC56">
            <v>6416.676575677549</v>
          </cell>
          <cell r="AD56">
            <v>33168.10223662002</v>
          </cell>
          <cell r="AE56">
            <v>0</v>
          </cell>
          <cell r="AF56">
            <v>0</v>
          </cell>
          <cell r="AG56">
            <v>0</v>
          </cell>
          <cell r="AH56">
            <v>0</v>
          </cell>
          <cell r="AI56">
            <v>0</v>
          </cell>
          <cell r="AJ56">
            <v>0</v>
          </cell>
          <cell r="AK56">
            <v>0</v>
          </cell>
          <cell r="AL56">
            <v>0</v>
          </cell>
          <cell r="AM56">
            <v>35211.613066999984</v>
          </cell>
          <cell r="AN56">
            <v>0</v>
          </cell>
          <cell r="AO56">
            <v>309345.7412621685</v>
          </cell>
          <cell r="AP56">
            <v>0</v>
          </cell>
          <cell r="AQ56">
            <v>0</v>
          </cell>
          <cell r="AR56">
            <v>309345.7412621685</v>
          </cell>
          <cell r="AS56">
            <v>0</v>
          </cell>
          <cell r="AT56">
            <v>0</v>
          </cell>
          <cell r="AU56">
            <v>0</v>
          </cell>
          <cell r="AV56">
            <v>2887.0569419999993</v>
          </cell>
          <cell r="AW56">
            <v>0</v>
          </cell>
          <cell r="AX56">
            <v>0</v>
          </cell>
          <cell r="AY56">
            <v>0</v>
          </cell>
          <cell r="AZ56">
            <v>312232.7982041685</v>
          </cell>
        </row>
        <row r="57">
          <cell r="A57" t="str">
            <v>IPAB Cost</v>
          </cell>
          <cell r="B57">
            <v>2180.4758639164847</v>
          </cell>
          <cell r="C57">
            <v>5775.481771999999</v>
          </cell>
          <cell r="D57">
            <v>1992.8056191015858</v>
          </cell>
          <cell r="E57">
            <v>2801.3380754819646</v>
          </cell>
          <cell r="F57">
            <v>558.6089786180826</v>
          </cell>
          <cell r="G57">
            <v>1157.2916998999526</v>
          </cell>
          <cell r="H57">
            <v>0</v>
          </cell>
          <cell r="I57">
            <v>0</v>
          </cell>
          <cell r="J57">
            <v>0</v>
          </cell>
          <cell r="K57">
            <v>332.61660898192986</v>
          </cell>
          <cell r="L57">
            <v>0</v>
          </cell>
          <cell r="M57">
            <v>0</v>
          </cell>
          <cell r="N57">
            <v>0</v>
          </cell>
          <cell r="O57">
            <v>0</v>
          </cell>
          <cell r="P57">
            <v>0</v>
          </cell>
          <cell r="Q57">
            <v>0</v>
          </cell>
          <cell r="R57">
            <v>0</v>
          </cell>
          <cell r="S57">
            <v>0</v>
          </cell>
          <cell r="T57">
            <v>0</v>
          </cell>
          <cell r="U57">
            <v>30794.686460999998</v>
          </cell>
          <cell r="V57">
            <v>12960.763515896768</v>
          </cell>
          <cell r="W57">
            <v>1445.5040324087713</v>
          </cell>
          <cell r="X57">
            <v>14845.672291241419</v>
          </cell>
          <cell r="Y57">
            <v>1542.7466214530405</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45593.305079</v>
          </cell>
          <cell r="AP57">
            <v>0</v>
          </cell>
          <cell r="AQ57">
            <v>0</v>
          </cell>
          <cell r="AR57">
            <v>45593.305079</v>
          </cell>
          <cell r="AS57">
            <v>0</v>
          </cell>
          <cell r="AT57">
            <v>0</v>
          </cell>
          <cell r="AU57">
            <v>0</v>
          </cell>
          <cell r="AV57">
            <v>0</v>
          </cell>
          <cell r="AW57">
            <v>0</v>
          </cell>
          <cell r="AX57">
            <v>0</v>
          </cell>
          <cell r="AY57">
            <v>0</v>
          </cell>
          <cell r="AZ57">
            <v>45593.305079</v>
          </cell>
        </row>
        <row r="58">
          <cell r="A58" t="str">
            <v>Total Indirect Cost</v>
          </cell>
          <cell r="B58">
            <v>23960.96539362106</v>
          </cell>
          <cell r="C58">
            <v>155213.74699609357</v>
          </cell>
          <cell r="D58">
            <v>25016.366205986455</v>
          </cell>
          <cell r="E58">
            <v>18841.130539979902</v>
          </cell>
          <cell r="F58">
            <v>3734.9236333330755</v>
          </cell>
          <cell r="G58">
            <v>8136.817001321661</v>
          </cell>
          <cell r="H58">
            <v>0</v>
          </cell>
          <cell r="I58">
            <v>0</v>
          </cell>
          <cell r="J58">
            <v>0</v>
          </cell>
          <cell r="K58">
            <v>11603.057914784382</v>
          </cell>
          <cell r="L58">
            <v>701.9702571617835</v>
          </cell>
          <cell r="M58">
            <v>1123.104802897334</v>
          </cell>
          <cell r="N58">
            <v>151.22550694706206</v>
          </cell>
          <cell r="O58">
            <v>0</v>
          </cell>
          <cell r="P58">
            <v>16.72779369637986</v>
          </cell>
          <cell r="Q58">
            <v>22.259710966878295</v>
          </cell>
          <cell r="R58">
            <v>0</v>
          </cell>
          <cell r="S58">
            <v>0</v>
          </cell>
          <cell r="T58">
            <v>0</v>
          </cell>
          <cell r="U58">
            <v>84088.61076669514</v>
          </cell>
          <cell r="V58">
            <v>34928.22559425285</v>
          </cell>
          <cell r="W58">
            <v>3238.207323491102</v>
          </cell>
          <cell r="X58">
            <v>36408.62414725158</v>
          </cell>
          <cell r="Y58">
            <v>3502.111822342473</v>
          </cell>
          <cell r="Z58">
            <v>759.6078793571414</v>
          </cell>
          <cell r="AA58">
            <v>5251.833999999999</v>
          </cell>
          <cell r="AB58">
            <v>80944.02680944106</v>
          </cell>
          <cell r="AC58">
            <v>6910.967658251878</v>
          </cell>
          <cell r="AD58">
            <v>4859.784625290376</v>
          </cell>
          <cell r="AE58">
            <v>0</v>
          </cell>
          <cell r="AF58">
            <v>0</v>
          </cell>
          <cell r="AG58">
            <v>0</v>
          </cell>
          <cell r="AH58">
            <v>303.571</v>
          </cell>
          <cell r="AI58">
            <v>3113.13</v>
          </cell>
          <cell r="AJ58">
            <v>0</v>
          </cell>
          <cell r="AK58">
            <v>0</v>
          </cell>
          <cell r="AL58">
            <v>151.507908592826</v>
          </cell>
          <cell r="AM58">
            <v>35020.005916342874</v>
          </cell>
          <cell r="AN58">
            <v>418374.28682059504</v>
          </cell>
          <cell r="AO58">
            <v>882290.1824321684</v>
          </cell>
          <cell r="AP58">
            <v>0</v>
          </cell>
          <cell r="AQ58">
            <v>0</v>
          </cell>
          <cell r="AR58">
            <v>882290.1824321684</v>
          </cell>
          <cell r="AS58">
            <v>0</v>
          </cell>
          <cell r="AT58">
            <v>0</v>
          </cell>
          <cell r="AU58">
            <v>0</v>
          </cell>
          <cell r="AV58">
            <v>2887.0569419999993</v>
          </cell>
          <cell r="AW58">
            <v>0</v>
          </cell>
          <cell r="AX58">
            <v>0</v>
          </cell>
          <cell r="AY58">
            <v>0</v>
          </cell>
          <cell r="AZ58">
            <v>885386.8493741684</v>
          </cell>
        </row>
        <row r="59">
          <cell r="A59" t="str">
            <v>Total Indirect Cost1</v>
          </cell>
          <cell r="B59">
            <v>0.04095929959360329</v>
          </cell>
          <cell r="C59">
            <v>0.07716254870741482</v>
          </cell>
          <cell r="D59">
            <v>0.04758651755075018</v>
          </cell>
          <cell r="E59">
            <v>0.018888374943042536</v>
          </cell>
          <cell r="F59">
            <v>0.019206657431136438</v>
          </cell>
          <cell r="G59">
            <v>0.019072943518864453</v>
          </cell>
          <cell r="H59">
            <v>0</v>
          </cell>
          <cell r="I59">
            <v>0</v>
          </cell>
          <cell r="J59">
            <v>0</v>
          </cell>
          <cell r="K59">
            <v>0.10776845816096135</v>
          </cell>
          <cell r="L59">
            <v>0.004561544477772509</v>
          </cell>
          <cell r="M59">
            <v>0.01347165276831785</v>
          </cell>
          <cell r="N59">
            <v>0.0018046375099818324</v>
          </cell>
          <cell r="O59">
            <v>0</v>
          </cell>
          <cell r="P59">
            <v>0.002358092296924332</v>
          </cell>
          <cell r="Q59">
            <v>0.004439801325780643</v>
          </cell>
          <cell r="R59">
            <v>0</v>
          </cell>
          <cell r="S59">
            <v>0</v>
          </cell>
          <cell r="T59">
            <v>0</v>
          </cell>
          <cell r="U59">
            <v>0.007630216371278372</v>
          </cell>
          <cell r="V59">
            <v>0.00752714442520804</v>
          </cell>
          <cell r="W59">
            <v>0.006623982743449434</v>
          </cell>
          <cell r="X59">
            <v>0.006768278852191403</v>
          </cell>
          <cell r="Y59">
            <v>0.006839946219297441</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A60" t="str">
            <v>Total Cost Before Branches</v>
          </cell>
          <cell r="B60">
            <v>40494.197285471055</v>
          </cell>
          <cell r="C60">
            <v>259504.39512050242</v>
          </cell>
          <cell r="D60">
            <v>33108.41571428646</v>
          </cell>
          <cell r="E60">
            <v>24641.359349702107</v>
          </cell>
          <cell r="F60">
            <v>4891.535153916021</v>
          </cell>
          <cell r="G60">
            <v>10533.013561016516</v>
          </cell>
          <cell r="H60">
            <v>0</v>
          </cell>
          <cell r="I60">
            <v>0</v>
          </cell>
          <cell r="J60">
            <v>0</v>
          </cell>
          <cell r="K60">
            <v>18202.769848237447</v>
          </cell>
          <cell r="L60">
            <v>781.9702571617835</v>
          </cell>
          <cell r="M60">
            <v>5558.304802897334</v>
          </cell>
          <cell r="N60">
            <v>151.22550694706206</v>
          </cell>
          <cell r="O60">
            <v>0</v>
          </cell>
          <cell r="P60">
            <v>16.72779369637986</v>
          </cell>
          <cell r="Q60">
            <v>22.259710966878295</v>
          </cell>
          <cell r="R60">
            <v>0</v>
          </cell>
          <cell r="S60">
            <v>0</v>
          </cell>
          <cell r="T60">
            <v>0</v>
          </cell>
          <cell r="U60">
            <v>112910.36629859514</v>
          </cell>
          <cell r="V60">
            <v>41677.584587692414</v>
          </cell>
          <cell r="W60">
            <v>3963.5015497224113</v>
          </cell>
          <cell r="X60">
            <v>50419.60465809563</v>
          </cell>
          <cell r="Y60">
            <v>4276.198363777539</v>
          </cell>
          <cell r="Z60">
            <v>7321.643139307142</v>
          </cell>
          <cell r="AA60">
            <v>5251.833999999999</v>
          </cell>
          <cell r="AB60">
            <v>82782.71240720112</v>
          </cell>
          <cell r="AC60">
            <v>13232.22310805188</v>
          </cell>
          <cell r="AD60">
            <v>17998.43074176227</v>
          </cell>
          <cell r="AE60">
            <v>0</v>
          </cell>
          <cell r="AF60">
            <v>0</v>
          </cell>
          <cell r="AG60">
            <v>0</v>
          </cell>
          <cell r="AH60">
            <v>303.571</v>
          </cell>
          <cell r="AI60">
            <v>3113.13</v>
          </cell>
          <cell r="AJ60">
            <v>0</v>
          </cell>
          <cell r="AK60">
            <v>0</v>
          </cell>
          <cell r="AL60">
            <v>151.507908592826</v>
          </cell>
          <cell r="AM60">
            <v>32569.632466342875</v>
          </cell>
          <cell r="AN60">
            <v>421085.45843909995</v>
          </cell>
          <cell r="AO60">
            <v>1082055.2016446171</v>
          </cell>
          <cell r="AP60">
            <v>51292</v>
          </cell>
          <cell r="AQ60">
            <v>28069</v>
          </cell>
          <cell r="AR60">
            <v>1161416.2016446171</v>
          </cell>
          <cell r="AS60">
            <v>41249.70530626626</v>
          </cell>
          <cell r="AT60">
            <v>674</v>
          </cell>
          <cell r="AU60">
            <v>0</v>
          </cell>
          <cell r="AV60">
            <v>6747.852181999999</v>
          </cell>
          <cell r="AW60">
            <v>-109291.66593315109</v>
          </cell>
          <cell r="AX60">
            <v>96670.88138333138</v>
          </cell>
          <cell r="AY60">
            <v>-57710.57171917311</v>
          </cell>
          <cell r="AZ60">
            <v>1139966.0128638907</v>
          </cell>
        </row>
        <row r="61">
          <cell r="A61" t="str">
            <v>Total Cost Before Branches1</v>
          </cell>
          <cell r="B61">
            <v>0.06922149968380012</v>
          </cell>
          <cell r="C61">
            <v>0.12900932369590917</v>
          </cell>
          <cell r="D61">
            <v>0.06297933890528046</v>
          </cell>
          <cell r="E61">
            <v>0.024703147909080656</v>
          </cell>
          <cell r="F61">
            <v>0.025154474157155524</v>
          </cell>
          <cell r="G61">
            <v>0.024689700247660713</v>
          </cell>
          <cell r="H61">
            <v>0</v>
          </cell>
          <cell r="I61">
            <v>0</v>
          </cell>
          <cell r="J61">
            <v>0</v>
          </cell>
          <cell r="K61">
            <v>0.16906615955987322</v>
          </cell>
          <cell r="L61">
            <v>0.005081400631931041</v>
          </cell>
          <cell r="M61">
            <v>0.06667191885560055</v>
          </cell>
          <cell r="N61">
            <v>0.0018046375099818324</v>
          </cell>
          <cell r="O61">
            <v>0</v>
          </cell>
          <cell r="P61">
            <v>0.002358092296924332</v>
          </cell>
          <cell r="Q61">
            <v>0.004439801325780643</v>
          </cell>
          <cell r="R61">
            <v>0</v>
          </cell>
          <cell r="S61">
            <v>0</v>
          </cell>
          <cell r="T61">
            <v>0</v>
          </cell>
          <cell r="U61">
            <v>0.010245507894153526</v>
          </cell>
          <cell r="V61">
            <v>0.008981652893841948</v>
          </cell>
          <cell r="W61">
            <v>0.00810762352321895</v>
          </cell>
          <cell r="X61">
            <v>0.009372887658788404</v>
          </cell>
          <cell r="Y61">
            <v>0.008351808370219942</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5.292062074490901</v>
          </cell>
          <cell r="AY61">
            <v>0</v>
          </cell>
          <cell r="AZ61">
            <v>0</v>
          </cell>
        </row>
        <row r="62">
          <cell r="A62" t="str">
            <v>PBT Before Branches Expenses</v>
          </cell>
          <cell r="B62">
            <v>-45965.31105196318</v>
          </cell>
          <cell r="C62">
            <v>-453211.2088840619</v>
          </cell>
          <cell r="D62">
            <v>13429.951710072099</v>
          </cell>
          <cell r="E62">
            <v>-1304.4416410102422</v>
          </cell>
          <cell r="F62">
            <v>2441.7060211010994</v>
          </cell>
          <cell r="G62">
            <v>24606.666032763846</v>
          </cell>
          <cell r="H62">
            <v>-1863.383612442005</v>
          </cell>
          <cell r="I62">
            <v>-54100</v>
          </cell>
          <cell r="J62">
            <v>-956.413117235863</v>
          </cell>
          <cell r="K62">
            <v>-22338.115059747186</v>
          </cell>
          <cell r="L62">
            <v>-5993.01437425547</v>
          </cell>
          <cell r="M62">
            <v>-8248.073214349155</v>
          </cell>
          <cell r="N62">
            <v>7352.808507429055</v>
          </cell>
          <cell r="O62">
            <v>0</v>
          </cell>
          <cell r="P62">
            <v>-16.307509056119354</v>
          </cell>
          <cell r="Q62">
            <v>4273.649325992253</v>
          </cell>
          <cell r="R62">
            <v>119.87167000000056</v>
          </cell>
          <cell r="S62">
            <v>1844.334700199961</v>
          </cell>
          <cell r="T62">
            <v>214.40981999999974</v>
          </cell>
          <cell r="U62">
            <v>490928.3648996363</v>
          </cell>
          <cell r="V62">
            <v>399343.20325161953</v>
          </cell>
          <cell r="W62">
            <v>-3228.1607397224116</v>
          </cell>
          <cell r="X62">
            <v>76933.43118190451</v>
          </cell>
          <cell r="Y62">
            <v>-2473.2390437775375</v>
          </cell>
          <cell r="Z62">
            <v>16838.50717254149</v>
          </cell>
          <cell r="AA62">
            <v>3514.6230770707116</v>
          </cell>
          <cell r="AB62">
            <v>-12355.37628842122</v>
          </cell>
          <cell r="AC62">
            <v>9860.082581948129</v>
          </cell>
          <cell r="AD62">
            <v>-8850.342996494037</v>
          </cell>
          <cell r="AE62">
            <v>14426.497207000008</v>
          </cell>
          <cell r="AF62">
            <v>-1526.8991</v>
          </cell>
          <cell r="AG62">
            <v>-819.3908100000001</v>
          </cell>
          <cell r="AH62">
            <v>1620.825304257689</v>
          </cell>
          <cell r="AI62">
            <v>38.31490080215917</v>
          </cell>
          <cell r="AJ62">
            <v>2139.7678608320794</v>
          </cell>
          <cell r="AK62">
            <v>2051.6181080000006</v>
          </cell>
          <cell r="AL62">
            <v>-23322.647531525927</v>
          </cell>
          <cell r="AM62">
            <v>-32569.632466342875</v>
          </cell>
          <cell r="AN62">
            <v>-421085.45843909995</v>
          </cell>
          <cell r="AO62">
            <v>-519157.50461611664</v>
          </cell>
          <cell r="AP62">
            <v>157140</v>
          </cell>
          <cell r="AQ62">
            <v>26908</v>
          </cell>
          <cell r="AR62">
            <v>-335109.50461611664</v>
          </cell>
          <cell r="AS62">
            <v>-21644.24318165132</v>
          </cell>
          <cell r="AT62">
            <v>-4200.408021014067</v>
          </cell>
          <cell r="AU62">
            <v>0</v>
          </cell>
          <cell r="AV62">
            <v>-6747.852181999999</v>
          </cell>
          <cell r="AW62">
            <v>109291.66593315109</v>
          </cell>
          <cell r="AX62">
            <v>29391.75010796252</v>
          </cell>
          <cell r="AY62">
            <v>-26933.663164950704</v>
          </cell>
          <cell r="AZ62">
            <v>-256161.8651246191</v>
          </cell>
        </row>
        <row r="63">
          <cell r="A63" t="str">
            <v>PBT Before Branches Expenses1</v>
          </cell>
          <cell r="B63">
            <v>-0.07857391867824083</v>
          </cell>
          <cell r="C63">
            <v>-0.22530821307434146</v>
          </cell>
          <cell r="D63">
            <v>0.025546661233482405</v>
          </cell>
          <cell r="E63">
            <v>-0.0013077125469958888</v>
          </cell>
          <cell r="F63">
            <v>0.01255635073132158</v>
          </cell>
          <cell r="G63">
            <v>0.057678764479308496</v>
          </cell>
          <cell r="H63">
            <v>-0.0035383491606492635</v>
          </cell>
          <cell r="I63">
            <v>0</v>
          </cell>
          <cell r="J63">
            <v>-0.04699546576805448</v>
          </cell>
          <cell r="K63">
            <v>-0.20747498081033586</v>
          </cell>
          <cell r="L63">
            <v>-0.03894381755521566</v>
          </cell>
          <cell r="M63">
            <v>-0.0989357164751903</v>
          </cell>
          <cell r="N63">
            <v>0.08774415311343607</v>
          </cell>
          <cell r="O63">
            <v>0</v>
          </cell>
          <cell r="P63">
            <v>-0.0022988453937939812</v>
          </cell>
          <cell r="Q63">
            <v>0.8523989359832597</v>
          </cell>
          <cell r="R63">
            <v>0.01705190546986909</v>
          </cell>
          <cell r="S63">
            <v>0</v>
          </cell>
          <cell r="T63">
            <v>0</v>
          </cell>
          <cell r="U63">
            <v>0.04454693225192105</v>
          </cell>
          <cell r="V63">
            <v>0.08605973864858303</v>
          </cell>
          <cell r="W63">
            <v>-0.00660343174381712</v>
          </cell>
          <cell r="X63">
            <v>0.014301746563919915</v>
          </cell>
          <cell r="Y63">
            <v>-0.004830463133410102</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1.608995013012078</v>
          </cell>
          <cell r="AY63">
            <v>0</v>
          </cell>
          <cell r="AZ63">
            <v>0</v>
          </cell>
        </row>
        <row r="64">
          <cell r="A64" t="str">
            <v>Origination Cost</v>
          </cell>
          <cell r="B64">
            <v>141.31782323316156</v>
          </cell>
          <cell r="C64">
            <v>1006.5246026784534</v>
          </cell>
          <cell r="D64">
            <v>1196.3777108691665</v>
          </cell>
          <cell r="E64">
            <v>148.32698500831975</v>
          </cell>
          <cell r="F64">
            <v>0</v>
          </cell>
          <cell r="G64">
            <v>0</v>
          </cell>
          <cell r="H64">
            <v>0</v>
          </cell>
          <cell r="I64">
            <v>0</v>
          </cell>
          <cell r="J64">
            <v>0</v>
          </cell>
          <cell r="K64">
            <v>0</v>
          </cell>
          <cell r="L64">
            <v>1386.3390131310684</v>
          </cell>
          <cell r="M64">
            <v>0</v>
          </cell>
          <cell r="N64">
            <v>0</v>
          </cell>
          <cell r="O64">
            <v>0</v>
          </cell>
          <cell r="P64">
            <v>0.0569406160337554</v>
          </cell>
          <cell r="Q64">
            <v>0</v>
          </cell>
          <cell r="R64">
            <v>0</v>
          </cell>
          <cell r="S64">
            <v>0</v>
          </cell>
          <cell r="T64">
            <v>0</v>
          </cell>
          <cell r="U64">
            <v>34516.81891547401</v>
          </cell>
          <cell r="V64">
            <v>27847.99990207535</v>
          </cell>
          <cell r="W64">
            <v>0</v>
          </cell>
          <cell r="X64">
            <v>72.69801480697372</v>
          </cell>
          <cell r="Y64">
            <v>0</v>
          </cell>
          <cell r="Z64">
            <v>6596.120998591684</v>
          </cell>
          <cell r="AA64">
            <v>0</v>
          </cell>
          <cell r="AB64">
            <v>0</v>
          </cell>
          <cell r="AC64">
            <v>0</v>
          </cell>
          <cell r="AD64">
            <v>0</v>
          </cell>
          <cell r="AE64">
            <v>0</v>
          </cell>
          <cell r="AF64">
            <v>0</v>
          </cell>
          <cell r="AG64">
            <v>0</v>
          </cell>
          <cell r="AH64">
            <v>0</v>
          </cell>
          <cell r="AI64">
            <v>0</v>
          </cell>
          <cell r="AJ64">
            <v>0</v>
          </cell>
          <cell r="AK64">
            <v>0</v>
          </cell>
          <cell r="AL64">
            <v>5449.446721798109</v>
          </cell>
          <cell r="AM64">
            <v>0.20395444537815122</v>
          </cell>
          <cell r="AN64">
            <v>-43845.41266725371</v>
          </cell>
          <cell r="AO64">
            <v>0</v>
          </cell>
          <cell r="AP64">
            <v>0</v>
          </cell>
          <cell r="AQ64">
            <v>0</v>
          </cell>
          <cell r="AR64">
            <v>0</v>
          </cell>
          <cell r="AS64">
            <v>0</v>
          </cell>
          <cell r="AT64">
            <v>0</v>
          </cell>
          <cell r="AU64">
            <v>0</v>
          </cell>
          <cell r="AV64">
            <v>0</v>
          </cell>
          <cell r="AW64">
            <v>0</v>
          </cell>
          <cell r="AX64">
            <v>0</v>
          </cell>
          <cell r="AY64">
            <v>0</v>
          </cell>
          <cell r="AZ64">
            <v>0</v>
          </cell>
        </row>
        <row r="65">
          <cell r="A65" t="str">
            <v>Txn Cost</v>
          </cell>
          <cell r="B65">
            <v>213.0516129182115</v>
          </cell>
          <cell r="C65">
            <v>32364.353096693434</v>
          </cell>
          <cell r="D65">
            <v>4512.499714884147</v>
          </cell>
          <cell r="E65">
            <v>1338.3149271157044</v>
          </cell>
          <cell r="F65">
            <v>1214.3702978950123</v>
          </cell>
          <cell r="G65">
            <v>0</v>
          </cell>
          <cell r="H65">
            <v>0</v>
          </cell>
          <cell r="I65">
            <v>0</v>
          </cell>
          <cell r="J65">
            <v>1.3178707485229253</v>
          </cell>
          <cell r="K65">
            <v>4710.274523701397</v>
          </cell>
          <cell r="L65">
            <v>1356.035554736331</v>
          </cell>
          <cell r="M65">
            <v>-218.3074433737563</v>
          </cell>
          <cell r="N65">
            <v>2430.0256997116503</v>
          </cell>
          <cell r="O65">
            <v>0</v>
          </cell>
          <cell r="P65">
            <v>0.019474344367519113</v>
          </cell>
          <cell r="Q65">
            <v>0</v>
          </cell>
          <cell r="R65">
            <v>0</v>
          </cell>
          <cell r="S65">
            <v>8219.452978449113</v>
          </cell>
          <cell r="T65">
            <v>0</v>
          </cell>
          <cell r="U65">
            <v>112690.53558476461</v>
          </cell>
          <cell r="V65">
            <v>111606.996116417</v>
          </cell>
          <cell r="W65">
            <v>-24666.257200395616</v>
          </cell>
          <cell r="X65">
            <v>2417.077364374848</v>
          </cell>
          <cell r="Y65">
            <v>0</v>
          </cell>
          <cell r="Z65">
            <v>215.754537700816</v>
          </cell>
          <cell r="AA65">
            <v>23116.964766667552</v>
          </cell>
          <cell r="AB65">
            <v>-60.904595172578</v>
          </cell>
          <cell r="AC65">
            <v>0</v>
          </cell>
          <cell r="AD65">
            <v>17.164929010520343</v>
          </cell>
          <cell r="AE65">
            <v>0</v>
          </cell>
          <cell r="AF65">
            <v>0</v>
          </cell>
          <cell r="AG65">
            <v>0</v>
          </cell>
          <cell r="AH65">
            <v>484.3848013003278</v>
          </cell>
          <cell r="AI65">
            <v>233.46695221434788</v>
          </cell>
          <cell r="AJ65">
            <v>42.34683851363405</v>
          </cell>
          <cell r="AK65">
            <v>0</v>
          </cell>
          <cell r="AL65">
            <v>0</v>
          </cell>
          <cell r="AM65">
            <v>196.1461469125785</v>
          </cell>
          <cell r="AN65">
            <v>-169885.05452041375</v>
          </cell>
          <cell r="AO65">
            <v>0</v>
          </cell>
          <cell r="AP65">
            <v>0</v>
          </cell>
          <cell r="AQ65">
            <v>0</v>
          </cell>
          <cell r="AR65">
            <v>0</v>
          </cell>
          <cell r="AS65">
            <v>0</v>
          </cell>
          <cell r="AT65">
            <v>0</v>
          </cell>
          <cell r="AU65">
            <v>0</v>
          </cell>
          <cell r="AV65">
            <v>0</v>
          </cell>
          <cell r="AW65">
            <v>0</v>
          </cell>
          <cell r="AX65">
            <v>0</v>
          </cell>
          <cell r="AY65">
            <v>0</v>
          </cell>
          <cell r="AZ65">
            <v>0</v>
          </cell>
        </row>
        <row r="66">
          <cell r="A66" t="str">
            <v>Distributed branches expense</v>
          </cell>
          <cell r="B66">
            <v>-1034.1524171428057</v>
          </cell>
          <cell r="C66">
            <v>-6929.791856857943</v>
          </cell>
          <cell r="D66">
            <v>-1480.9317538687003</v>
          </cell>
          <cell r="E66">
            <v>-264.41445424226356</v>
          </cell>
          <cell r="F66">
            <v>-224.2185455858412</v>
          </cell>
          <cell r="G66">
            <v>0</v>
          </cell>
          <cell r="H66">
            <v>0</v>
          </cell>
          <cell r="I66">
            <v>0</v>
          </cell>
          <cell r="J66">
            <v>-0.26318229517282</v>
          </cell>
          <cell r="K66">
            <v>-1028.931108663388</v>
          </cell>
          <cell r="L66">
            <v>-527.6657858001877</v>
          </cell>
          <cell r="M66">
            <v>0</v>
          </cell>
          <cell r="N66">
            <v>0</v>
          </cell>
          <cell r="O66">
            <v>0</v>
          </cell>
          <cell r="P66">
            <v>0</v>
          </cell>
          <cell r="Q66">
            <v>0</v>
          </cell>
          <cell r="R66">
            <v>0</v>
          </cell>
          <cell r="S66">
            <v>-166.28012680674686</v>
          </cell>
          <cell r="T66">
            <v>0</v>
          </cell>
          <cell r="U66">
            <v>-65804.97626396824</v>
          </cell>
          <cell r="V66">
            <v>-64408.838887606646</v>
          </cell>
          <cell r="W66">
            <v>-181.97140149147538</v>
          </cell>
          <cell r="X66">
            <v>-398.6042705701495</v>
          </cell>
          <cell r="Y66">
            <v>0</v>
          </cell>
          <cell r="Z66">
            <v>-45.06363404539798</v>
          </cell>
          <cell r="AA66">
            <v>-770.498070254579</v>
          </cell>
          <cell r="AB66">
            <v>-1.1610528528345</v>
          </cell>
          <cell r="AC66">
            <v>0</v>
          </cell>
          <cell r="AD66">
            <v>-3.0663810813260723</v>
          </cell>
          <cell r="AE66">
            <v>0</v>
          </cell>
          <cell r="AF66">
            <v>0</v>
          </cell>
          <cell r="AG66">
            <v>0</v>
          </cell>
          <cell r="AH66">
            <v>-102.67471162914613</v>
          </cell>
          <cell r="AI66">
            <v>-36.725651290244635</v>
          </cell>
          <cell r="AJ66">
            <v>-5.674557400633072</v>
          </cell>
          <cell r="AK66">
            <v>0</v>
          </cell>
          <cell r="AL66">
            <v>-1028.931108663388</v>
          </cell>
          <cell r="AM66">
            <v>-36.19476907566874</v>
          </cell>
          <cell r="AN66">
            <v>78957.07123846997</v>
          </cell>
          <cell r="AO66">
            <v>0</v>
          </cell>
          <cell r="AP66">
            <v>0</v>
          </cell>
          <cell r="AQ66">
            <v>0</v>
          </cell>
          <cell r="AR66">
            <v>0</v>
          </cell>
          <cell r="AS66">
            <v>0</v>
          </cell>
          <cell r="AT66">
            <v>0</v>
          </cell>
          <cell r="AU66">
            <v>0</v>
          </cell>
          <cell r="AV66">
            <v>0</v>
          </cell>
          <cell r="AW66">
            <v>0</v>
          </cell>
          <cell r="AX66">
            <v>0</v>
          </cell>
          <cell r="AY66">
            <v>0</v>
          </cell>
          <cell r="AZ66">
            <v>0</v>
          </cell>
        </row>
        <row r="67">
          <cell r="A67" t="str">
            <v>Total Branches Expenses</v>
          </cell>
          <cell r="B67">
            <v>-679.7829809914326</v>
          </cell>
          <cell r="C67">
            <v>26441.085842513945</v>
          </cell>
          <cell r="D67">
            <v>4227.945671884613</v>
          </cell>
          <cell r="E67">
            <v>1222.2274578817605</v>
          </cell>
          <cell r="F67">
            <v>990.1517523091711</v>
          </cell>
          <cell r="G67">
            <v>0</v>
          </cell>
          <cell r="H67">
            <v>0</v>
          </cell>
          <cell r="I67">
            <v>0</v>
          </cell>
          <cell r="J67">
            <v>1.0546884533501053</v>
          </cell>
          <cell r="K67">
            <v>3681.343415038009</v>
          </cell>
          <cell r="L67">
            <v>2214.708782067212</v>
          </cell>
          <cell r="M67">
            <v>-218.3074433737563</v>
          </cell>
          <cell r="N67">
            <v>2430.0256997116503</v>
          </cell>
          <cell r="O67">
            <v>0</v>
          </cell>
          <cell r="P67">
            <v>0.07641496040127452</v>
          </cell>
          <cell r="Q67">
            <v>0</v>
          </cell>
          <cell r="R67">
            <v>0</v>
          </cell>
          <cell r="S67">
            <v>8053.172851642366</v>
          </cell>
          <cell r="T67">
            <v>0</v>
          </cell>
          <cell r="U67">
            <v>81402.37823627036</v>
          </cell>
          <cell r="V67">
            <v>75046.15713088571</v>
          </cell>
          <cell r="W67">
            <v>-24848.22860188709</v>
          </cell>
          <cell r="X67">
            <v>2091.1711086116725</v>
          </cell>
          <cell r="Y67">
            <v>0</v>
          </cell>
          <cell r="Z67">
            <v>6766.811902247102</v>
          </cell>
          <cell r="AA67">
            <v>22346.466696412972</v>
          </cell>
          <cell r="AB67">
            <v>-62.0656480254125</v>
          </cell>
          <cell r="AC67">
            <v>0</v>
          </cell>
          <cell r="AD67">
            <v>14.09854792919427</v>
          </cell>
          <cell r="AE67">
            <v>0</v>
          </cell>
          <cell r="AF67">
            <v>0</v>
          </cell>
          <cell r="AG67">
            <v>0</v>
          </cell>
          <cell r="AH67">
            <v>381.71008967118166</v>
          </cell>
          <cell r="AI67">
            <v>196.74130092410326</v>
          </cell>
          <cell r="AJ67">
            <v>36.67228111300098</v>
          </cell>
          <cell r="AK67">
            <v>0</v>
          </cell>
          <cell r="AL67">
            <v>4420.515613134721</v>
          </cell>
          <cell r="AM67">
            <v>160.1553322822879</v>
          </cell>
          <cell r="AN67">
            <v>-134773.39594919747</v>
          </cell>
          <cell r="AO67">
            <v>0</v>
          </cell>
          <cell r="AP67">
            <v>0</v>
          </cell>
          <cell r="AQ67">
            <v>0</v>
          </cell>
          <cell r="AR67">
            <v>0</v>
          </cell>
          <cell r="AS67">
            <v>0</v>
          </cell>
          <cell r="AT67">
            <v>0</v>
          </cell>
          <cell r="AU67">
            <v>0</v>
          </cell>
          <cell r="AV67">
            <v>0</v>
          </cell>
          <cell r="AW67">
            <v>0</v>
          </cell>
          <cell r="AX67">
            <v>0</v>
          </cell>
          <cell r="AY67">
            <v>0</v>
          </cell>
          <cell r="AZ67">
            <v>0</v>
          </cell>
        </row>
        <row r="68">
          <cell r="A68" t="str">
            <v>Total Branches Expenses1</v>
          </cell>
          <cell r="B68">
            <v>-0.0011620330950635799</v>
          </cell>
          <cell r="C68">
            <v>0.013144850979283865</v>
          </cell>
          <cell r="D68">
            <v>0.008042463452210323</v>
          </cell>
          <cell r="E68">
            <v>0.001225292210632762</v>
          </cell>
          <cell r="F68">
            <v>0.005091805717717</v>
          </cell>
          <cell r="G68">
            <v>0</v>
          </cell>
          <cell r="H68">
            <v>0</v>
          </cell>
          <cell r="I68">
            <v>0</v>
          </cell>
          <cell r="J68">
            <v>5.1824440936806745E-05</v>
          </cell>
          <cell r="K68">
            <v>0.03419208166617401</v>
          </cell>
          <cell r="L68">
            <v>0.01439162487533235</v>
          </cell>
          <cell r="M68">
            <v>-0.0026185998548697307</v>
          </cell>
          <cell r="N68">
            <v>0.02899851762080463</v>
          </cell>
          <cell r="O68">
            <v>0</v>
          </cell>
          <cell r="P68">
            <v>1.0772103767098695E-05</v>
          </cell>
          <cell r="Q68">
            <v>0</v>
          </cell>
          <cell r="R68">
            <v>0</v>
          </cell>
          <cell r="S68">
            <v>0</v>
          </cell>
          <cell r="T68">
            <v>0</v>
          </cell>
          <cell r="U68">
            <v>0.0073864671257643085</v>
          </cell>
          <cell r="V68">
            <v>0.01617268709390092</v>
          </cell>
          <cell r="W68">
            <v>-0.050828813915082545</v>
          </cell>
          <cell r="X68">
            <v>0.00038874386281357096</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row>
        <row r="69">
          <cell r="A69" t="str">
            <v>TOTAL EXPENSES</v>
          </cell>
          <cell r="B69">
            <v>39814.41430447962</v>
          </cell>
          <cell r="C69">
            <v>285945.4809630164</v>
          </cell>
          <cell r="D69">
            <v>37336.36138617107</v>
          </cell>
          <cell r="E69">
            <v>25863.586807583866</v>
          </cell>
          <cell r="F69">
            <v>5881.686906225192</v>
          </cell>
          <cell r="G69">
            <v>10533.013561016516</v>
          </cell>
          <cell r="H69">
            <v>0</v>
          </cell>
          <cell r="I69">
            <v>0</v>
          </cell>
          <cell r="J69">
            <v>1.0546884533501053</v>
          </cell>
          <cell r="K69">
            <v>21884.113263275456</v>
          </cell>
          <cell r="L69">
            <v>2996.6790392289954</v>
          </cell>
          <cell r="M69">
            <v>5339.997359523578</v>
          </cell>
          <cell r="N69">
            <v>2581.2512066587124</v>
          </cell>
          <cell r="O69">
            <v>0</v>
          </cell>
          <cell r="P69">
            <v>16.80420865678113</v>
          </cell>
          <cell r="Q69">
            <v>22.259710966878295</v>
          </cell>
          <cell r="R69">
            <v>0</v>
          </cell>
          <cell r="S69">
            <v>8053.172851642366</v>
          </cell>
          <cell r="T69">
            <v>0</v>
          </cell>
          <cell r="U69">
            <v>194312.7445348655</v>
          </cell>
          <cell r="V69">
            <v>116723.74171857812</v>
          </cell>
          <cell r="W69">
            <v>-20884.72705216468</v>
          </cell>
          <cell r="X69">
            <v>52510.7757667073</v>
          </cell>
          <cell r="Y69">
            <v>4276.198363777539</v>
          </cell>
          <cell r="Z69">
            <v>14088.455041554244</v>
          </cell>
          <cell r="AA69">
            <v>27598.30069641297</v>
          </cell>
          <cell r="AB69">
            <v>82720.64675917571</v>
          </cell>
          <cell r="AC69">
            <v>13232.22310805188</v>
          </cell>
          <cell r="AD69">
            <v>18012.529289691465</v>
          </cell>
          <cell r="AE69">
            <v>0</v>
          </cell>
          <cell r="AF69">
            <v>0</v>
          </cell>
          <cell r="AG69">
            <v>0</v>
          </cell>
          <cell r="AH69">
            <v>685.2810896711817</v>
          </cell>
          <cell r="AI69">
            <v>3309.871300924104</v>
          </cell>
          <cell r="AJ69">
            <v>36.67228111300098</v>
          </cell>
          <cell r="AK69">
            <v>0</v>
          </cell>
          <cell r="AL69">
            <v>4572.023521727548</v>
          </cell>
          <cell r="AM69">
            <v>32729.787798625162</v>
          </cell>
          <cell r="AN69">
            <v>286312.0624899025</v>
          </cell>
          <cell r="AO69">
            <v>1082055.2016446171</v>
          </cell>
          <cell r="AP69">
            <v>51292</v>
          </cell>
          <cell r="AQ69">
            <v>28069</v>
          </cell>
          <cell r="AR69">
            <v>1161416.2016446171</v>
          </cell>
          <cell r="AS69">
            <v>41249.70530626626</v>
          </cell>
          <cell r="AT69">
            <v>674</v>
          </cell>
          <cell r="AU69">
            <v>0</v>
          </cell>
          <cell r="AV69">
            <v>6747.852181999999</v>
          </cell>
          <cell r="AW69">
            <v>-109291.66593315109</v>
          </cell>
          <cell r="AX69">
            <v>96670.88138333138</v>
          </cell>
          <cell r="AY69">
            <v>-57710.57171917311</v>
          </cell>
          <cell r="AZ69">
            <v>1139966.0128638907</v>
          </cell>
        </row>
        <row r="70">
          <cell r="A70" t="str">
            <v>TOTAL EXPENSES1</v>
          </cell>
          <cell r="B70">
            <v>0.06805946658873654</v>
          </cell>
          <cell r="C70">
            <v>0.14215417467519306</v>
          </cell>
          <cell r="D70">
            <v>0.07102180235749077</v>
          </cell>
          <cell r="E70">
            <v>0.025928440119713417</v>
          </cell>
          <cell r="F70">
            <v>0.030246279874872526</v>
          </cell>
          <cell r="G70">
            <v>0.024689700247660713</v>
          </cell>
          <cell r="H70">
            <v>0</v>
          </cell>
          <cell r="I70">
            <v>0</v>
          </cell>
          <cell r="J70">
            <v>5.1824440936806745E-05</v>
          </cell>
          <cell r="K70">
            <v>0.20325824122604721</v>
          </cell>
          <cell r="L70">
            <v>0.019473025507263392</v>
          </cell>
          <cell r="M70">
            <v>0.0640533190007308</v>
          </cell>
          <cell r="N70">
            <v>0.030803155130786464</v>
          </cell>
          <cell r="O70">
            <v>0</v>
          </cell>
          <cell r="P70">
            <v>0.00236886440069143</v>
          </cell>
          <cell r="Q70">
            <v>0.004439801325780643</v>
          </cell>
          <cell r="R70">
            <v>0</v>
          </cell>
          <cell r="S70">
            <v>0</v>
          </cell>
          <cell r="T70">
            <v>0</v>
          </cell>
          <cell r="U70">
            <v>0.017631975019917836</v>
          </cell>
          <cell r="V70">
            <v>0.02515433998774287</v>
          </cell>
          <cell r="W70">
            <v>-0.04272119039186359</v>
          </cell>
          <cell r="X70">
            <v>0.009761631521601975</v>
          </cell>
          <cell r="Y70">
            <v>0.008351808370219942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5.292062074490901</v>
          </cell>
          <cell r="AY70">
            <v>0</v>
          </cell>
          <cell r="AZ70">
            <v>0</v>
          </cell>
        </row>
        <row r="71">
          <cell r="A71" t="str">
            <v>PBT</v>
          </cell>
          <cell r="B71">
            <v>-45285.52807097175</v>
          </cell>
          <cell r="C71">
            <v>-479652.29472657584</v>
          </cell>
          <cell r="D71">
            <v>9202.006038187486</v>
          </cell>
          <cell r="E71">
            <v>-2526.669098892002</v>
          </cell>
          <cell r="F71">
            <v>1451.5542687919287</v>
          </cell>
          <cell r="G71">
            <v>24606.666032763846</v>
          </cell>
          <cell r="H71">
            <v>-1863.383612442005</v>
          </cell>
          <cell r="I71">
            <v>-54100</v>
          </cell>
          <cell r="J71">
            <v>-957.467805689213</v>
          </cell>
          <cell r="K71">
            <v>-26019.458474785195</v>
          </cell>
          <cell r="L71">
            <v>-8207.723156322681</v>
          </cell>
          <cell r="M71">
            <v>-8029.765770975399</v>
          </cell>
          <cell r="N71">
            <v>4922.7828077174045</v>
          </cell>
          <cell r="O71">
            <v>0</v>
          </cell>
          <cell r="P71">
            <v>-16.383924016520627</v>
          </cell>
          <cell r="Q71">
            <v>4273.649325992253</v>
          </cell>
          <cell r="R71">
            <v>119.87167000000056</v>
          </cell>
          <cell r="S71">
            <v>-6208.838151442405</v>
          </cell>
          <cell r="T71">
            <v>214.40981999999974</v>
          </cell>
          <cell r="U71">
            <v>409525.98666336597</v>
          </cell>
          <cell r="V71">
            <v>324297.04612073384</v>
          </cell>
          <cell r="W71">
            <v>21620.06786216468</v>
          </cell>
          <cell r="X71">
            <v>74842.26007329284</v>
          </cell>
          <cell r="Y71">
            <v>-2473.2390437775375</v>
          </cell>
          <cell r="Z71">
            <v>10071.695270294385</v>
          </cell>
          <cell r="AA71">
            <v>-18831.84361934226</v>
          </cell>
          <cell r="AB71">
            <v>-12293.310640395808</v>
          </cell>
          <cell r="AC71">
            <v>9860.082581948129</v>
          </cell>
          <cell r="AD71">
            <v>-8864.441544423233</v>
          </cell>
          <cell r="AE71">
            <v>14426.497207000008</v>
          </cell>
          <cell r="AF71">
            <v>-1526.8991</v>
          </cell>
          <cell r="AG71">
            <v>-819.3908100000001</v>
          </cell>
          <cell r="AH71">
            <v>1239.1152145865071</v>
          </cell>
          <cell r="AI71">
            <v>-158.42640012194397</v>
          </cell>
          <cell r="AJ71">
            <v>2103.095579719078</v>
          </cell>
          <cell r="AK71">
            <v>2051.6181080000006</v>
          </cell>
          <cell r="AL71">
            <v>-27743.163144660648</v>
          </cell>
          <cell r="AM71">
            <v>-32729.787798625162</v>
          </cell>
          <cell r="AN71">
            <v>-286312.0624899025</v>
          </cell>
          <cell r="AO71">
            <v>-519157.50461611664</v>
          </cell>
          <cell r="AP71">
            <v>157140</v>
          </cell>
          <cell r="AQ71">
            <v>26908</v>
          </cell>
          <cell r="AR71">
            <v>-335109.50461611664</v>
          </cell>
          <cell r="AS71">
            <v>-21644.24318165132</v>
          </cell>
          <cell r="AT71">
            <v>-4200.408021014067</v>
          </cell>
          <cell r="AU71">
            <v>0</v>
          </cell>
          <cell r="AV71">
            <v>-6747.852181999999</v>
          </cell>
          <cell r="AW71">
            <v>109291.66593315109</v>
          </cell>
          <cell r="AX71">
            <v>29391.75010796252</v>
          </cell>
          <cell r="AY71">
            <v>-26933.663164950704</v>
          </cell>
          <cell r="AZ71">
            <v>-256161.8651246191</v>
          </cell>
        </row>
        <row r="72">
          <cell r="A72" t="str">
            <v>PBT1</v>
          </cell>
          <cell r="B72">
            <v>-0.07741188558317726</v>
          </cell>
          <cell r="C72">
            <v>-0.2384530640536253</v>
          </cell>
          <cell r="D72">
            <v>0.017504197781272084</v>
          </cell>
          <cell r="E72">
            <v>-0.00253300475762865</v>
          </cell>
          <cell r="F72">
            <v>0.007464545013604582</v>
          </cell>
          <cell r="G72">
            <v>0.057678764479308496</v>
          </cell>
          <cell r="H72">
            <v>-0.0035383491606492635</v>
          </cell>
          <cell r="I72">
            <v>0</v>
          </cell>
          <cell r="J72">
            <v>-0.047047290208991295</v>
          </cell>
          <cell r="K72">
            <v>-0.24166706247650988</v>
          </cell>
          <cell r="L72">
            <v>-0.053335442430548</v>
          </cell>
          <cell r="M72">
            <v>-0.09631711662032055</v>
          </cell>
          <cell r="N72">
            <v>0.05874563549263144</v>
          </cell>
          <cell r="O72">
            <v>0</v>
          </cell>
          <cell r="P72">
            <v>-0.0023096174975610795</v>
          </cell>
          <cell r="Q72">
            <v>0.8523989359832597</v>
          </cell>
          <cell r="R72">
            <v>0.01705190546986909</v>
          </cell>
          <cell r="S72">
            <v>0</v>
          </cell>
          <cell r="T72">
            <v>0</v>
          </cell>
          <cell r="U72">
            <v>0.03716046512615675</v>
          </cell>
          <cell r="V72">
            <v>0.06988705155468211</v>
          </cell>
          <cell r="W72">
            <v>0.04422538217126542</v>
          </cell>
          <cell r="X72">
            <v>0.013913002701106344</v>
          </cell>
          <cell r="Y72">
            <v>-0.004830463133410102</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1.608995013012078</v>
          </cell>
          <cell r="AY72">
            <v>0</v>
          </cell>
          <cell r="AZ7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Ytd vs PLan"/>
      <sheetName val="Mth vs Prior"/>
      <sheetName val="T"/>
      <sheetName val="Hoja2"/>
      <sheetName val="Hoja3"/>
      <sheetName val="pendiente"/>
      <sheetName val="Nov07"/>
      <sheetName val="R1_0008"/>
      <sheetName val="Dic07"/>
      <sheetName val="ene08"/>
      <sheetName val="Feb08"/>
      <sheetName val="Mar08"/>
      <sheetName val="Abr08"/>
      <sheetName val="May08"/>
      <sheetName val="Jun08"/>
      <sheetName val="R1_0608"/>
      <sheetName val="R1_0508"/>
      <sheetName val="R1_0408"/>
      <sheetName val="R1_0308"/>
      <sheetName val="R1_0208"/>
      <sheetName val="R1_0108"/>
      <sheetName val="R1_1207"/>
      <sheetName val="R1_1107"/>
      <sheetName val="AOP"/>
    </sheetNames>
    <sheetDataSet>
      <sheetData sheetId="2">
        <row r="10">
          <cell r="C10">
            <v>31</v>
          </cell>
        </row>
        <row r="13">
          <cell r="B13">
            <v>180</v>
          </cell>
          <cell r="C13">
            <v>30</v>
          </cell>
        </row>
        <row r="14">
          <cell r="B14">
            <v>210</v>
          </cell>
          <cell r="C14">
            <v>31</v>
          </cell>
        </row>
        <row r="21">
          <cell r="B21">
            <v>360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tacora"/>
      <sheetName val="Definiciones"/>
      <sheetName val="Graphs_pfs"/>
      <sheetName val="Graphs_cmb"/>
      <sheetName val="CMB_PNL"/>
      <sheetName val="NII_cmb"/>
      <sheetName val="NII.VarAnalysis.CMB"/>
      <sheetName val="NII.VarAnalysis.AOP.CMB"/>
      <sheetName val="NII_YTD_cmb"/>
      <sheetName val="NII.VarAnalysis.CMB YTD"/>
      <sheetName val="NII.VarAnalysis.CMB AOP YTD"/>
      <sheetName val="Fees_cmb"/>
      <sheetName val="Trading_cmb"/>
      <sheetName val="OOI_cmb"/>
      <sheetName val="LLP_cmb"/>
      <sheetName val="Graphs_cib"/>
      <sheetName val="Graphs_ibm"/>
      <sheetName val="Graphs_gpb"/>
      <sheetName val="CGR_ClosePackage_CMB_100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itacora"/>
      <sheetName val="Definiciones"/>
      <sheetName val="Graphs_pfs"/>
      <sheetName val="Summary_Prior_cmb"/>
      <sheetName val="CMB_AOP_Summary"/>
      <sheetName val="Summary_cmb_YTD_Prior"/>
      <sheetName val="CMB_YTD_AOP_Summary"/>
      <sheetName val="Graphs_cmb"/>
      <sheetName val="NII_cmb"/>
      <sheetName val="NII_YTD_cmb"/>
      <sheetName val="NII.VarAnalysis.CMB"/>
      <sheetName val="NII.VarAnalysis.AOP.CMB"/>
      <sheetName val="Fees_cmb"/>
      <sheetName val="Trading_cmb"/>
      <sheetName val="OOI_cmb"/>
      <sheetName val="AEx_cmb"/>
      <sheetName val="LLP_cmb"/>
      <sheetName val="Graphs_cib"/>
      <sheetName val="Graphs_ibm"/>
      <sheetName val="Graphs_gpb"/>
    </sheetNames>
    <sheetDataSet>
      <sheetData sheetId="1">
        <row r="5">
          <cell r="C5">
            <v>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sbc.com.mx/"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6">
    <tabColor indexed="49"/>
    <pageSetUpPr fitToPage="1"/>
  </sheetPr>
  <dimension ref="A5:CI141"/>
  <sheetViews>
    <sheetView zoomScalePageLayoutView="0" workbookViewId="0" topLeftCell="A1">
      <selection activeCell="A80" sqref="A80"/>
    </sheetView>
  </sheetViews>
  <sheetFormatPr defaultColWidth="0" defaultRowHeight="0" customHeight="1" zeroHeight="1"/>
  <cols>
    <col min="1" max="4" width="18.421875" style="3" customWidth="1"/>
    <col min="5" max="6" width="17.00390625" style="1" customWidth="1"/>
    <col min="7" max="7" width="17.7109375" style="1" customWidth="1"/>
    <col min="8" max="176" width="11.421875" style="1" customWidth="1"/>
    <col min="177" max="177" width="5.28125" style="1" customWidth="1"/>
    <col min="178" max="178" width="33.421875" style="1" customWidth="1"/>
    <col min="179" max="179" width="14.140625" style="1" bestFit="1" customWidth="1"/>
    <col min="180" max="180" width="13.421875" style="1" bestFit="1" customWidth="1"/>
    <col min="181" max="181" width="14.421875" style="1" customWidth="1"/>
    <col min="182" max="182" width="39.8515625" style="1" customWidth="1"/>
    <col min="183" max="183" width="12.8515625" style="1" customWidth="1"/>
    <col min="184" max="184" width="19.421875" style="1" customWidth="1"/>
    <col min="185" max="185" width="18.140625" style="1" bestFit="1" customWidth="1"/>
    <col min="186" max="186" width="15.140625" style="1" customWidth="1"/>
    <col min="187" max="187" width="12.7109375" style="1" bestFit="1" customWidth="1"/>
    <col min="188" max="188" width="13.57421875" style="1" bestFit="1" customWidth="1"/>
    <col min="189" max="189" width="2.57421875" style="1" customWidth="1"/>
    <col min="190" max="190" width="17.28125" style="1" bestFit="1" customWidth="1"/>
    <col min="191" max="16384" width="0" style="1" hidden="1" customWidth="1"/>
  </cols>
  <sheetData>
    <row r="1" ht="12.75"/>
    <row r="2" ht="12.75"/>
    <row r="3" ht="12.75"/>
    <row r="4" ht="12.75"/>
    <row r="5" ht="12.75">
      <c r="C5" s="309">
        <v>42063</v>
      </c>
    </row>
    <row r="6" ht="12.75"/>
    <row r="7" ht="12.75"/>
    <row r="8" ht="12.75"/>
    <row r="9" ht="12.75"/>
    <row r="10" spans="1:4" s="5" customFormat="1" ht="12.75" customHeight="1">
      <c r="A10" s="4"/>
      <c r="B10" s="4"/>
      <c r="C10" s="4"/>
      <c r="D10" s="4"/>
    </row>
    <row r="11" spans="1:4" s="5" customFormat="1" ht="12.75" customHeight="1">
      <c r="A11" s="4"/>
      <c r="B11" s="4"/>
      <c r="C11" s="4"/>
      <c r="D11" s="4"/>
    </row>
    <row r="12" spans="1:4" s="5" customFormat="1" ht="13.5" customHeight="1">
      <c r="A12" s="4"/>
      <c r="B12" s="4"/>
      <c r="C12" s="4"/>
      <c r="D12" s="4"/>
    </row>
    <row r="13" spans="1:4" s="5" customFormat="1" ht="11.25">
      <c r="A13" s="4"/>
      <c r="B13" s="4"/>
      <c r="C13" s="4"/>
      <c r="D13" s="4"/>
    </row>
    <row r="14" spans="1:4" s="5" customFormat="1" ht="11.25">
      <c r="A14" s="4"/>
      <c r="B14" s="4"/>
      <c r="C14" s="4"/>
      <c r="D14" s="4"/>
    </row>
    <row r="15" spans="1:4" s="5" customFormat="1" ht="11.25">
      <c r="A15" s="4"/>
      <c r="B15" s="4"/>
      <c r="C15" s="4"/>
      <c r="D15" s="4"/>
    </row>
    <row r="16" spans="1:4" s="5" customFormat="1" ht="11.25">
      <c r="A16" s="4"/>
      <c r="B16" s="4"/>
      <c r="C16" s="4"/>
      <c r="D16" s="4"/>
    </row>
    <row r="17" spans="1:4" s="5" customFormat="1" ht="11.25">
      <c r="A17" s="4"/>
      <c r="B17" s="4"/>
      <c r="C17" s="4"/>
      <c r="D17" s="4"/>
    </row>
    <row r="18" spans="1:4" s="5" customFormat="1" ht="11.25">
      <c r="A18" s="4"/>
      <c r="B18" s="4"/>
      <c r="C18" s="4"/>
      <c r="D18" s="4"/>
    </row>
    <row r="19" spans="1:4" s="5" customFormat="1" ht="11.25">
      <c r="A19" s="4"/>
      <c r="B19" s="4"/>
      <c r="C19" s="4"/>
      <c r="D19" s="4"/>
    </row>
    <row r="20" spans="1:4" s="5" customFormat="1" ht="11.25">
      <c r="A20" s="4"/>
      <c r="B20" s="4"/>
      <c r="C20" s="4"/>
      <c r="D20" s="4"/>
    </row>
    <row r="21" spans="1:4" s="5" customFormat="1" ht="15">
      <c r="A21" s="340" t="s">
        <v>18</v>
      </c>
      <c r="B21" s="341"/>
      <c r="C21" s="342"/>
      <c r="D21" s="6">
        <f>Simulador!$C$20</f>
        <v>2000000</v>
      </c>
    </row>
    <row r="22" spans="1:4" s="5" customFormat="1" ht="11.25">
      <c r="A22" s="343"/>
      <c r="B22" s="343"/>
      <c r="C22" s="343"/>
      <c r="D22" s="343"/>
    </row>
    <row r="23" spans="1:4" s="5" customFormat="1" ht="15">
      <c r="A23" s="7" t="s">
        <v>19</v>
      </c>
      <c r="B23" s="7" t="s">
        <v>20</v>
      </c>
      <c r="C23" s="7" t="s">
        <v>21</v>
      </c>
      <c r="D23" s="7" t="s">
        <v>22</v>
      </c>
    </row>
    <row r="24" spans="1:4" s="5" customFormat="1" ht="15" customHeight="1">
      <c r="A24" s="8">
        <v>0</v>
      </c>
      <c r="B24" s="8">
        <v>250000</v>
      </c>
      <c r="C24" s="9">
        <f aca="true" t="shared" si="0" ref="C24:C49">IF(AND($D$21&lt;=B24,$D$21&gt;=A24),1,0)</f>
        <v>0</v>
      </c>
      <c r="D24" s="10">
        <v>800</v>
      </c>
    </row>
    <row r="25" spans="1:4" s="5" customFormat="1" ht="12.75">
      <c r="A25" s="8">
        <v>250001</v>
      </c>
      <c r="B25" s="11">
        <v>350000</v>
      </c>
      <c r="C25" s="9">
        <f t="shared" si="0"/>
        <v>0</v>
      </c>
      <c r="D25" s="10">
        <v>1000</v>
      </c>
    </row>
    <row r="26" spans="1:4" s="5" customFormat="1" ht="12.75">
      <c r="A26" s="8">
        <v>350001</v>
      </c>
      <c r="B26" s="11">
        <v>500000</v>
      </c>
      <c r="C26" s="9">
        <f t="shared" si="0"/>
        <v>0</v>
      </c>
      <c r="D26" s="10">
        <v>1450</v>
      </c>
    </row>
    <row r="27" spans="1:4" s="5" customFormat="1" ht="15" customHeight="1">
      <c r="A27" s="8">
        <v>500001</v>
      </c>
      <c r="B27" s="11">
        <v>750000</v>
      </c>
      <c r="C27" s="9">
        <f t="shared" si="0"/>
        <v>0</v>
      </c>
      <c r="D27" s="10">
        <v>2050</v>
      </c>
    </row>
    <row r="28" spans="1:4" s="5" customFormat="1" ht="12.75">
      <c r="A28" s="8">
        <v>750001</v>
      </c>
      <c r="B28" s="11">
        <v>1000000</v>
      </c>
      <c r="C28" s="9">
        <f t="shared" si="0"/>
        <v>0</v>
      </c>
      <c r="D28" s="10">
        <v>2700</v>
      </c>
    </row>
    <row r="29" spans="1:4" s="5" customFormat="1" ht="12.75">
      <c r="A29" s="8">
        <v>1000001</v>
      </c>
      <c r="B29" s="11">
        <v>1250000</v>
      </c>
      <c r="C29" s="9">
        <f t="shared" si="0"/>
        <v>0</v>
      </c>
      <c r="D29" s="10">
        <v>3350</v>
      </c>
    </row>
    <row r="30" spans="1:4" s="12" customFormat="1" ht="12.75">
      <c r="A30" s="8">
        <v>1250001</v>
      </c>
      <c r="B30" s="11">
        <v>1500000</v>
      </c>
      <c r="C30" s="9">
        <f t="shared" si="0"/>
        <v>0</v>
      </c>
      <c r="D30" s="10">
        <v>4000</v>
      </c>
    </row>
    <row r="31" spans="1:4" ht="12.75">
      <c r="A31" s="8">
        <v>1500001</v>
      </c>
      <c r="B31" s="11">
        <v>1750000</v>
      </c>
      <c r="C31" s="9">
        <f t="shared" si="0"/>
        <v>0</v>
      </c>
      <c r="D31" s="10">
        <v>4650</v>
      </c>
    </row>
    <row r="32" spans="1:4" ht="15.75" customHeight="1">
      <c r="A32" s="8">
        <v>1750001</v>
      </c>
      <c r="B32" s="11">
        <v>2000000</v>
      </c>
      <c r="C32" s="9">
        <f t="shared" si="0"/>
        <v>1</v>
      </c>
      <c r="D32" s="10">
        <v>5300</v>
      </c>
    </row>
    <row r="33" spans="1:4" ht="12.75">
      <c r="A33" s="8">
        <v>2000001</v>
      </c>
      <c r="B33" s="11">
        <v>2250000</v>
      </c>
      <c r="C33" s="9">
        <f t="shared" si="0"/>
        <v>0</v>
      </c>
      <c r="D33" s="10">
        <v>5950</v>
      </c>
    </row>
    <row r="34" spans="1:4" ht="12.75">
      <c r="A34" s="8">
        <v>2250001</v>
      </c>
      <c r="B34" s="11">
        <v>2500000</v>
      </c>
      <c r="C34" s="9">
        <f t="shared" si="0"/>
        <v>0</v>
      </c>
      <c r="D34" s="10">
        <v>6600</v>
      </c>
    </row>
    <row r="35" spans="1:4" ht="15.75" customHeight="1">
      <c r="A35" s="8">
        <v>2500001</v>
      </c>
      <c r="B35" s="11">
        <v>2750000</v>
      </c>
      <c r="C35" s="9">
        <f t="shared" si="0"/>
        <v>0</v>
      </c>
      <c r="D35" s="10">
        <v>7250</v>
      </c>
    </row>
    <row r="36" spans="1:4" ht="12.75">
      <c r="A36" s="8">
        <v>2750001</v>
      </c>
      <c r="B36" s="11">
        <v>3000000</v>
      </c>
      <c r="C36" s="9">
        <f t="shared" si="0"/>
        <v>0</v>
      </c>
      <c r="D36" s="10">
        <v>7900</v>
      </c>
    </row>
    <row r="37" spans="1:4" ht="12.75">
      <c r="A37" s="8">
        <v>3000001</v>
      </c>
      <c r="B37" s="11">
        <v>3250000</v>
      </c>
      <c r="C37" s="9">
        <f t="shared" si="0"/>
        <v>0</v>
      </c>
      <c r="D37" s="10">
        <v>8550</v>
      </c>
    </row>
    <row r="38" spans="1:4" ht="12.75">
      <c r="A38" s="8">
        <v>3250001</v>
      </c>
      <c r="B38" s="11">
        <v>3500000</v>
      </c>
      <c r="C38" s="9">
        <f t="shared" si="0"/>
        <v>0</v>
      </c>
      <c r="D38" s="10">
        <v>9200</v>
      </c>
    </row>
    <row r="39" spans="1:4" ht="12.75">
      <c r="A39" s="8">
        <v>3500001</v>
      </c>
      <c r="B39" s="11">
        <v>3750000</v>
      </c>
      <c r="C39" s="9">
        <f t="shared" si="0"/>
        <v>0</v>
      </c>
      <c r="D39" s="10">
        <v>9850</v>
      </c>
    </row>
    <row r="40" spans="1:4" ht="12.75">
      <c r="A40" s="8">
        <v>3750001</v>
      </c>
      <c r="B40" s="11">
        <v>4000000</v>
      </c>
      <c r="C40" s="9">
        <f t="shared" si="0"/>
        <v>0</v>
      </c>
      <c r="D40" s="10">
        <v>10500</v>
      </c>
    </row>
    <row r="41" spans="1:4" ht="12.75">
      <c r="A41" s="8">
        <v>4000001</v>
      </c>
      <c r="B41" s="11">
        <v>4250000</v>
      </c>
      <c r="C41" s="9">
        <f t="shared" si="0"/>
        <v>0</v>
      </c>
      <c r="D41" s="10">
        <v>11150</v>
      </c>
    </row>
    <row r="42" spans="1:4" ht="12.75">
      <c r="A42" s="8">
        <v>4250001</v>
      </c>
      <c r="B42" s="11">
        <v>4500000</v>
      </c>
      <c r="C42" s="9">
        <f t="shared" si="0"/>
        <v>0</v>
      </c>
      <c r="D42" s="10">
        <v>11800</v>
      </c>
    </row>
    <row r="43" spans="1:4" ht="12.75">
      <c r="A43" s="8">
        <v>4500001</v>
      </c>
      <c r="B43" s="11">
        <v>4750000</v>
      </c>
      <c r="C43" s="9">
        <f t="shared" si="0"/>
        <v>0</v>
      </c>
      <c r="D43" s="10">
        <v>12450</v>
      </c>
    </row>
    <row r="44" spans="1:4" ht="12.75" customHeight="1">
      <c r="A44" s="8">
        <v>4750001</v>
      </c>
      <c r="B44" s="11">
        <v>5000000</v>
      </c>
      <c r="C44" s="9">
        <f t="shared" si="0"/>
        <v>0</v>
      </c>
      <c r="D44" s="10">
        <v>13100</v>
      </c>
    </row>
    <row r="45" spans="1:4" ht="12.75">
      <c r="A45" s="8">
        <v>5000001</v>
      </c>
      <c r="B45" s="11">
        <v>5250000</v>
      </c>
      <c r="C45" s="9">
        <f t="shared" si="0"/>
        <v>0</v>
      </c>
      <c r="D45" s="10">
        <v>13750</v>
      </c>
    </row>
    <row r="46" spans="1:4" ht="12.75">
      <c r="A46" s="8">
        <v>5250001</v>
      </c>
      <c r="B46" s="11">
        <v>5500000</v>
      </c>
      <c r="C46" s="9">
        <f t="shared" si="0"/>
        <v>0</v>
      </c>
      <c r="D46" s="10">
        <v>14000</v>
      </c>
    </row>
    <row r="47" spans="1:4" ht="12.75">
      <c r="A47" s="8">
        <v>5500001</v>
      </c>
      <c r="B47" s="11">
        <v>5750000</v>
      </c>
      <c r="C47" s="9">
        <f t="shared" si="0"/>
        <v>0</v>
      </c>
      <c r="D47" s="10">
        <v>15000</v>
      </c>
    </row>
    <row r="48" spans="1:4" ht="12.75">
      <c r="A48" s="8">
        <v>5750001</v>
      </c>
      <c r="B48" s="11">
        <v>6000000</v>
      </c>
      <c r="C48" s="9">
        <f t="shared" si="0"/>
        <v>0</v>
      </c>
      <c r="D48" s="10">
        <v>15500</v>
      </c>
    </row>
    <row r="49" spans="1:4" ht="12.75">
      <c r="A49" s="8">
        <v>6000001</v>
      </c>
      <c r="B49" s="11">
        <v>50000000</v>
      </c>
      <c r="C49" s="9">
        <f t="shared" si="0"/>
        <v>0</v>
      </c>
      <c r="D49" s="10">
        <v>17500</v>
      </c>
    </row>
    <row r="50" spans="1:4" ht="12.75">
      <c r="A50" s="13"/>
      <c r="B50" s="14"/>
      <c r="C50" s="15"/>
      <c r="D50" s="16"/>
    </row>
    <row r="51" spans="1:87" s="2" customFormat="1" ht="12.75">
      <c r="A51" s="3"/>
      <c r="B51" s="3"/>
      <c r="C51" s="3"/>
      <c r="D51" s="3"/>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row>
    <row r="52" spans="1:87" s="2" customFormat="1" ht="15">
      <c r="A52" s="340" t="s">
        <v>18</v>
      </c>
      <c r="B52" s="341"/>
      <c r="C52" s="342"/>
      <c r="D52" s="6">
        <f>Simulador!$C$20</f>
        <v>2000000</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row>
    <row r="53" spans="1:87" s="2" customFormat="1" ht="12.75">
      <c r="A53" s="343"/>
      <c r="B53" s="343"/>
      <c r="C53" s="343"/>
      <c r="D53" s="343"/>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row>
    <row r="54" spans="1:87" s="2" customFormat="1" ht="15">
      <c r="A54" s="7" t="s">
        <v>19</v>
      </c>
      <c r="B54" s="7" t="s">
        <v>20</v>
      </c>
      <c r="C54" s="7" t="s">
        <v>21</v>
      </c>
      <c r="D54" s="7" t="s">
        <v>22</v>
      </c>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row>
    <row r="55" spans="1:87" s="2" customFormat="1" ht="12.75">
      <c r="A55" s="8">
        <v>0</v>
      </c>
      <c r="B55" s="8">
        <v>250000</v>
      </c>
      <c r="C55" s="9">
        <f aca="true" t="shared" si="1" ref="C55:C80">IF(AND($D$21&lt;=B55,$D$21&gt;=A55),1,0)</f>
        <v>0</v>
      </c>
      <c r="D55" s="10">
        <v>1300</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row>
    <row r="56" spans="1:87" s="2" customFormat="1" ht="12.75">
      <c r="A56" s="8">
        <v>250001</v>
      </c>
      <c r="B56" s="11">
        <v>350000</v>
      </c>
      <c r="C56" s="9">
        <f t="shared" si="1"/>
        <v>0</v>
      </c>
      <c r="D56" s="10">
        <v>1500</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row>
    <row r="57" spans="1:87" s="2" customFormat="1" ht="12.75">
      <c r="A57" s="8">
        <v>350001</v>
      </c>
      <c r="B57" s="11">
        <v>500000</v>
      </c>
      <c r="C57" s="9">
        <f t="shared" si="1"/>
        <v>0</v>
      </c>
      <c r="D57" s="10">
        <v>1950</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row>
    <row r="58" spans="1:87" s="2" customFormat="1" ht="12.75">
      <c r="A58" s="8">
        <v>500001</v>
      </c>
      <c r="B58" s="11">
        <v>750000</v>
      </c>
      <c r="C58" s="9">
        <f t="shared" si="1"/>
        <v>0</v>
      </c>
      <c r="D58" s="10">
        <v>2550</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row>
    <row r="59" spans="1:87" s="2" customFormat="1" ht="12.75">
      <c r="A59" s="8">
        <v>750001</v>
      </c>
      <c r="B59" s="11">
        <v>1000000</v>
      </c>
      <c r="C59" s="9">
        <f t="shared" si="1"/>
        <v>0</v>
      </c>
      <c r="D59" s="10">
        <v>3200</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row>
    <row r="60" spans="1:87" s="2" customFormat="1" ht="12.75">
      <c r="A60" s="8">
        <v>1000001</v>
      </c>
      <c r="B60" s="11">
        <v>1250000</v>
      </c>
      <c r="C60" s="9">
        <f t="shared" si="1"/>
        <v>0</v>
      </c>
      <c r="D60" s="10">
        <v>3850</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row>
    <row r="61" spans="1:87" s="2" customFormat="1" ht="12.75">
      <c r="A61" s="8">
        <v>1250001</v>
      </c>
      <c r="B61" s="11">
        <v>1500000</v>
      </c>
      <c r="C61" s="9">
        <f t="shared" si="1"/>
        <v>0</v>
      </c>
      <c r="D61" s="10">
        <v>4500</v>
      </c>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row>
    <row r="62" spans="1:87" s="2" customFormat="1" ht="12.75">
      <c r="A62" s="8">
        <v>1500001</v>
      </c>
      <c r="B62" s="11">
        <v>1750000</v>
      </c>
      <c r="C62" s="9">
        <f t="shared" si="1"/>
        <v>0</v>
      </c>
      <c r="D62" s="10">
        <v>5150</v>
      </c>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row>
    <row r="63" spans="1:87" s="2" customFormat="1" ht="12.75">
      <c r="A63" s="8">
        <v>1750001</v>
      </c>
      <c r="B63" s="11">
        <v>2000000</v>
      </c>
      <c r="C63" s="9">
        <f t="shared" si="1"/>
        <v>1</v>
      </c>
      <c r="D63" s="10">
        <v>5800</v>
      </c>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row>
    <row r="64" spans="1:87" s="2" customFormat="1" ht="12.75">
      <c r="A64" s="8">
        <v>2000001</v>
      </c>
      <c r="B64" s="11">
        <v>2250000</v>
      </c>
      <c r="C64" s="9">
        <f t="shared" si="1"/>
        <v>0</v>
      </c>
      <c r="D64" s="10">
        <v>6450</v>
      </c>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row>
    <row r="65" spans="1:87" s="2" customFormat="1" ht="12.75">
      <c r="A65" s="8">
        <v>2250001</v>
      </c>
      <c r="B65" s="11">
        <v>2500000</v>
      </c>
      <c r="C65" s="9">
        <f t="shared" si="1"/>
        <v>0</v>
      </c>
      <c r="D65" s="10">
        <v>7100</v>
      </c>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row>
    <row r="66" spans="1:87" s="2" customFormat="1" ht="12.75">
      <c r="A66" s="8">
        <v>2500001</v>
      </c>
      <c r="B66" s="11">
        <v>2750000</v>
      </c>
      <c r="C66" s="9">
        <f t="shared" si="1"/>
        <v>0</v>
      </c>
      <c r="D66" s="10">
        <v>7750</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row>
    <row r="67" spans="1:87" s="2" customFormat="1" ht="12.75">
      <c r="A67" s="8">
        <v>2750001</v>
      </c>
      <c r="B67" s="11">
        <v>3000000</v>
      </c>
      <c r="C67" s="9">
        <f t="shared" si="1"/>
        <v>0</v>
      </c>
      <c r="D67" s="10">
        <v>8400</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row>
    <row r="68" spans="1:87" s="2" customFormat="1" ht="12.75">
      <c r="A68" s="8">
        <v>3000001</v>
      </c>
      <c r="B68" s="11">
        <v>3250000</v>
      </c>
      <c r="C68" s="9">
        <f t="shared" si="1"/>
        <v>0</v>
      </c>
      <c r="D68" s="10">
        <v>9050</v>
      </c>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row>
    <row r="69" spans="1:87" s="2" customFormat="1" ht="12.75">
      <c r="A69" s="8">
        <v>3250001</v>
      </c>
      <c r="B69" s="11">
        <v>3500000</v>
      </c>
      <c r="C69" s="9">
        <f t="shared" si="1"/>
        <v>0</v>
      </c>
      <c r="D69" s="10">
        <v>9700</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row>
    <row r="70" spans="1:87" s="2" customFormat="1" ht="12.75">
      <c r="A70" s="8">
        <v>3500001</v>
      </c>
      <c r="B70" s="11">
        <v>3750000</v>
      </c>
      <c r="C70" s="9">
        <f t="shared" si="1"/>
        <v>0</v>
      </c>
      <c r="D70" s="10">
        <v>10350</v>
      </c>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row>
    <row r="71" spans="1:87" s="2" customFormat="1" ht="12.75">
      <c r="A71" s="8">
        <v>3750001</v>
      </c>
      <c r="B71" s="11">
        <v>4000000</v>
      </c>
      <c r="C71" s="9">
        <f t="shared" si="1"/>
        <v>0</v>
      </c>
      <c r="D71" s="10">
        <v>11000</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row>
    <row r="72" spans="1:87" s="2" customFormat="1" ht="12.75">
      <c r="A72" s="8">
        <v>4000001</v>
      </c>
      <c r="B72" s="11">
        <v>4250000</v>
      </c>
      <c r="C72" s="9">
        <f t="shared" si="1"/>
        <v>0</v>
      </c>
      <c r="D72" s="10">
        <v>11650</v>
      </c>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row>
    <row r="73" spans="1:87" s="2" customFormat="1" ht="12.75">
      <c r="A73" s="8">
        <v>4250001</v>
      </c>
      <c r="B73" s="11">
        <v>4500000</v>
      </c>
      <c r="C73" s="9">
        <f t="shared" si="1"/>
        <v>0</v>
      </c>
      <c r="D73" s="10">
        <v>12300</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row>
    <row r="74" spans="1:87" s="2" customFormat="1" ht="12.75">
      <c r="A74" s="8">
        <v>4500001</v>
      </c>
      <c r="B74" s="11">
        <v>4750000</v>
      </c>
      <c r="C74" s="9">
        <f t="shared" si="1"/>
        <v>0</v>
      </c>
      <c r="D74" s="10">
        <v>12950</v>
      </c>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row>
    <row r="75" spans="1:87" s="2" customFormat="1" ht="12.75">
      <c r="A75" s="8">
        <v>4750001</v>
      </c>
      <c r="B75" s="11">
        <v>5000000</v>
      </c>
      <c r="C75" s="9">
        <f t="shared" si="1"/>
        <v>0</v>
      </c>
      <c r="D75" s="10">
        <v>13600</v>
      </c>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row>
    <row r="76" spans="1:87" s="2" customFormat="1" ht="12.75">
      <c r="A76" s="8">
        <v>5000001</v>
      </c>
      <c r="B76" s="11">
        <v>5250000</v>
      </c>
      <c r="C76" s="9">
        <f t="shared" si="1"/>
        <v>0</v>
      </c>
      <c r="D76" s="10">
        <v>14250</v>
      </c>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row>
    <row r="77" spans="1:87" s="2" customFormat="1" ht="12.75">
      <c r="A77" s="8">
        <v>5250001</v>
      </c>
      <c r="B77" s="11">
        <v>5500000</v>
      </c>
      <c r="C77" s="9">
        <f t="shared" si="1"/>
        <v>0</v>
      </c>
      <c r="D77" s="10">
        <v>14500</v>
      </c>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row>
    <row r="78" spans="1:87" s="2" customFormat="1" ht="12.75">
      <c r="A78" s="8">
        <v>5500001</v>
      </c>
      <c r="B78" s="11">
        <v>5750000</v>
      </c>
      <c r="C78" s="9">
        <f t="shared" si="1"/>
        <v>0</v>
      </c>
      <c r="D78" s="10">
        <v>15500</v>
      </c>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row>
    <row r="79" spans="1:87" s="2" customFormat="1" ht="12.75">
      <c r="A79" s="8">
        <v>5750001</v>
      </c>
      <c r="B79" s="11">
        <v>6000000</v>
      </c>
      <c r="C79" s="9">
        <f t="shared" si="1"/>
        <v>0</v>
      </c>
      <c r="D79" s="10">
        <v>16000</v>
      </c>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row>
    <row r="80" spans="1:87" s="2" customFormat="1" ht="12.75">
      <c r="A80" s="8">
        <v>6000001</v>
      </c>
      <c r="B80" s="11">
        <v>50000000</v>
      </c>
      <c r="C80" s="9">
        <f t="shared" si="1"/>
        <v>0</v>
      </c>
      <c r="D80" s="10">
        <v>18000</v>
      </c>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row>
    <row r="81" spans="1:87" s="2" customFormat="1" ht="12.75">
      <c r="A81" s="3"/>
      <c r="B81" s="3"/>
      <c r="C81" s="3"/>
      <c r="D81" s="3"/>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row>
    <row r="82" spans="1:87" s="2" customFormat="1" ht="12.75">
      <c r="A82" s="3"/>
      <c r="B82" s="3"/>
      <c r="C82" s="3"/>
      <c r="D82" s="3"/>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row>
    <row r="83" spans="1:87" s="2" customFormat="1" ht="12.75">
      <c r="A83" s="3"/>
      <c r="B83" s="3"/>
      <c r="C83" s="3"/>
      <c r="D83" s="3"/>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row>
    <row r="84" spans="1:87" s="2" customFormat="1" ht="12.75">
      <c r="A84" s="3"/>
      <c r="B84" s="3"/>
      <c r="C84" s="3"/>
      <c r="D84" s="3"/>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row>
    <row r="85" spans="1:87" s="2" customFormat="1" ht="12.75">
      <c r="A85" s="3"/>
      <c r="B85" s="3"/>
      <c r="C85" s="3"/>
      <c r="D85" s="3"/>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row>
    <row r="86" spans="1:87" s="2" customFormat="1" ht="12.75">
      <c r="A86" s="3"/>
      <c r="B86" s="3"/>
      <c r="C86" s="3"/>
      <c r="D86" s="3"/>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row>
    <row r="87" spans="1:87" s="2" customFormat="1" ht="12.75">
      <c r="A87" s="3"/>
      <c r="B87" s="3"/>
      <c r="C87" s="3"/>
      <c r="D87" s="3"/>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row>
    <row r="88" spans="1:87" s="2" customFormat="1" ht="12.75">
      <c r="A88" s="3"/>
      <c r="B88" s="3"/>
      <c r="C88" s="3"/>
      <c r="D88" s="3"/>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row>
    <row r="89" spans="1:87" s="2" customFormat="1" ht="12.75">
      <c r="A89" s="3"/>
      <c r="B89" s="3"/>
      <c r="C89" s="3"/>
      <c r="D89" s="3"/>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row>
    <row r="90" spans="1:87" s="2" customFormat="1" ht="12.75">
      <c r="A90" s="3"/>
      <c r="B90" s="3"/>
      <c r="C90" s="3"/>
      <c r="D90" s="3"/>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row>
    <row r="91" spans="1:87" s="2" customFormat="1" ht="12.75">
      <c r="A91" s="3"/>
      <c r="B91" s="3"/>
      <c r="C91" s="3"/>
      <c r="D91" s="3"/>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row>
    <row r="92" spans="1:87" s="2" customFormat="1" ht="12.75">
      <c r="A92" s="3"/>
      <c r="B92" s="3"/>
      <c r="C92" s="3"/>
      <c r="D92" s="3"/>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row>
    <row r="93" spans="1:87" s="2" customFormat="1" ht="12.75">
      <c r="A93" s="3"/>
      <c r="B93" s="3"/>
      <c r="C93" s="3"/>
      <c r="D93" s="3"/>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row>
    <row r="94" spans="1:87" s="2" customFormat="1" ht="12.75">
      <c r="A94" s="3"/>
      <c r="B94" s="3"/>
      <c r="C94" s="3"/>
      <c r="D94" s="3"/>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row>
    <row r="95" spans="1:87" s="2" customFormat="1" ht="12.75">
      <c r="A95" s="3"/>
      <c r="B95" s="3"/>
      <c r="C95" s="3"/>
      <c r="D95" s="3"/>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row>
    <row r="96" spans="1:87" s="2" customFormat="1" ht="12.75">
      <c r="A96" s="3"/>
      <c r="B96" s="3"/>
      <c r="C96" s="3"/>
      <c r="D96" s="3"/>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row>
    <row r="97" spans="1:87" s="2" customFormat="1" ht="12.75">
      <c r="A97" s="3"/>
      <c r="B97" s="3"/>
      <c r="C97" s="3"/>
      <c r="D97" s="3"/>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row>
    <row r="98" spans="1:87" s="2" customFormat="1" ht="12.75">
      <c r="A98" s="3"/>
      <c r="B98" s="3"/>
      <c r="C98" s="3"/>
      <c r="D98" s="3"/>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row>
    <row r="99" spans="1:87" s="2" customFormat="1" ht="12.75">
      <c r="A99" s="3"/>
      <c r="B99" s="3"/>
      <c r="C99" s="3"/>
      <c r="D99" s="3"/>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row>
    <row r="100" spans="1:87" s="2" customFormat="1" ht="12.75">
      <c r="A100" s="3"/>
      <c r="B100" s="3"/>
      <c r="C100" s="3"/>
      <c r="D100" s="3"/>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row>
    <row r="101" spans="1:87" s="2" customFormat="1" ht="12.75">
      <c r="A101" s="3"/>
      <c r="B101" s="3"/>
      <c r="C101" s="3"/>
      <c r="D101" s="3"/>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row>
    <row r="102" spans="1:87" s="2" customFormat="1" ht="12.75">
      <c r="A102" s="3"/>
      <c r="B102" s="3"/>
      <c r="C102" s="3"/>
      <c r="D102" s="3"/>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row>
    <row r="103" spans="1:87" s="2" customFormat="1" ht="12.75">
      <c r="A103" s="3"/>
      <c r="B103" s="3"/>
      <c r="C103" s="3"/>
      <c r="D103" s="3"/>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row>
    <row r="104" spans="1:87" s="2" customFormat="1" ht="12.75">
      <c r="A104" s="3"/>
      <c r="B104" s="3"/>
      <c r="C104" s="3"/>
      <c r="D104" s="3"/>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row>
    <row r="105" spans="1:87" s="2" customFormat="1" ht="12.75">
      <c r="A105" s="3"/>
      <c r="B105" s="3"/>
      <c r="C105" s="3"/>
      <c r="D105" s="3"/>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row>
    <row r="106" spans="1:87" s="2" customFormat="1" ht="12.75">
      <c r="A106" s="3"/>
      <c r="B106" s="3"/>
      <c r="C106" s="3"/>
      <c r="D106" s="3"/>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row>
    <row r="107" spans="1:87" s="2" customFormat="1" ht="12.75">
      <c r="A107" s="3"/>
      <c r="B107" s="3"/>
      <c r="C107" s="3"/>
      <c r="D107" s="3"/>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row>
    <row r="108" spans="1:87" s="2" customFormat="1" ht="12.75">
      <c r="A108" s="3"/>
      <c r="B108" s="3"/>
      <c r="C108" s="3"/>
      <c r="D108" s="3"/>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row>
    <row r="109" spans="1:87" s="2" customFormat="1" ht="12.75">
      <c r="A109" s="3"/>
      <c r="B109" s="3"/>
      <c r="C109" s="3"/>
      <c r="D109" s="3"/>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row>
    <row r="110" spans="1:87" s="2" customFormat="1" ht="12.75">
      <c r="A110" s="3"/>
      <c r="B110" s="3"/>
      <c r="C110" s="3"/>
      <c r="D110" s="3"/>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row>
    <row r="111" spans="1:87" s="2" customFormat="1" ht="12.75">
      <c r="A111" s="3"/>
      <c r="B111" s="3"/>
      <c r="C111" s="3"/>
      <c r="D111" s="3"/>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row>
    <row r="112" spans="1:87" s="2" customFormat="1" ht="12.75">
      <c r="A112" s="3"/>
      <c r="B112" s="3"/>
      <c r="C112" s="3"/>
      <c r="D112" s="3"/>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row>
    <row r="113" spans="1:87" s="2" customFormat="1" ht="12.75">
      <c r="A113" s="3"/>
      <c r="B113" s="3"/>
      <c r="C113" s="3"/>
      <c r="D113" s="3"/>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row>
    <row r="114" spans="1:87" s="2" customFormat="1" ht="12.75">
      <c r="A114" s="3"/>
      <c r="B114" s="3"/>
      <c r="C114" s="3"/>
      <c r="D114" s="3"/>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row>
    <row r="115" spans="1:87" s="2" customFormat="1" ht="12.75">
      <c r="A115" s="3"/>
      <c r="B115" s="3"/>
      <c r="C115" s="3"/>
      <c r="D115" s="3"/>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row>
    <row r="116" spans="1:87" s="2" customFormat="1" ht="12.75">
      <c r="A116" s="3"/>
      <c r="B116" s="3"/>
      <c r="C116" s="3"/>
      <c r="D116" s="3"/>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row>
    <row r="117" spans="1:87" s="2" customFormat="1" ht="12.75">
      <c r="A117" s="3"/>
      <c r="B117" s="3"/>
      <c r="C117" s="3"/>
      <c r="D117" s="3"/>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row>
    <row r="118" spans="1:87" s="2" customFormat="1" ht="12.75">
      <c r="A118" s="3"/>
      <c r="B118" s="3"/>
      <c r="C118" s="3"/>
      <c r="D118" s="3"/>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row>
    <row r="119" spans="1:87" s="2" customFormat="1" ht="12.75">
      <c r="A119" s="3"/>
      <c r="B119" s="3"/>
      <c r="C119" s="3"/>
      <c r="D119" s="3"/>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row>
    <row r="120" spans="1:87" s="2" customFormat="1" ht="12.75">
      <c r="A120" s="3"/>
      <c r="B120" s="3"/>
      <c r="C120" s="3"/>
      <c r="D120" s="3"/>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row>
    <row r="121" spans="1:87" s="2" customFormat="1" ht="12.75">
      <c r="A121" s="3"/>
      <c r="B121" s="3"/>
      <c r="C121" s="3"/>
      <c r="D121" s="3"/>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row>
    <row r="122" spans="1:87" s="2" customFormat="1" ht="12.75">
      <c r="A122" s="3"/>
      <c r="B122" s="3"/>
      <c r="C122" s="3"/>
      <c r="D122" s="3"/>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row>
    <row r="123" spans="1:87" s="2" customFormat="1" ht="12.75">
      <c r="A123" s="3"/>
      <c r="B123" s="3"/>
      <c r="C123" s="3"/>
      <c r="D123" s="3"/>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row>
    <row r="124" spans="1:87" s="2" customFormat="1" ht="12.75">
      <c r="A124" s="3"/>
      <c r="B124" s="3"/>
      <c r="C124" s="3"/>
      <c r="D124" s="3"/>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row>
    <row r="125" spans="1:87" s="2" customFormat="1" ht="12.75">
      <c r="A125" s="3"/>
      <c r="B125" s="3"/>
      <c r="C125" s="3"/>
      <c r="D125" s="3"/>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row>
    <row r="126" spans="1:87" s="2" customFormat="1" ht="12.75">
      <c r="A126" s="3"/>
      <c r="B126" s="3"/>
      <c r="C126" s="3"/>
      <c r="D126" s="3"/>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row>
    <row r="127" spans="1:87" s="2" customFormat="1" ht="12.75">
      <c r="A127" s="3"/>
      <c r="B127" s="3"/>
      <c r="C127" s="3"/>
      <c r="D127" s="3"/>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row>
    <row r="128" spans="1:87" s="2" customFormat="1" ht="12.75">
      <c r="A128" s="3"/>
      <c r="B128" s="3"/>
      <c r="C128" s="3"/>
      <c r="D128" s="3"/>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row>
    <row r="129" spans="1:87" s="2" customFormat="1" ht="12.75">
      <c r="A129" s="3"/>
      <c r="B129" s="3"/>
      <c r="C129" s="3"/>
      <c r="D129" s="3"/>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row>
    <row r="130" spans="1:87" s="2" customFormat="1" ht="12.75">
      <c r="A130" s="3"/>
      <c r="B130" s="3"/>
      <c r="C130" s="3"/>
      <c r="D130" s="3"/>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row>
    <row r="131" spans="1:87" s="2" customFormat="1" ht="12.75">
      <c r="A131" s="3"/>
      <c r="B131" s="3"/>
      <c r="C131" s="3"/>
      <c r="D131" s="3"/>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row>
    <row r="132" spans="1:87" s="2" customFormat="1" ht="12.75">
      <c r="A132" s="3"/>
      <c r="B132" s="3"/>
      <c r="C132" s="3"/>
      <c r="D132" s="3"/>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row>
    <row r="133" spans="1:87" s="2" customFormat="1" ht="12.75">
      <c r="A133" s="3"/>
      <c r="B133" s="3"/>
      <c r="C133" s="3"/>
      <c r="D133" s="3"/>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row>
    <row r="134" spans="1:87" s="2" customFormat="1" ht="12.75" hidden="1">
      <c r="A134" s="3"/>
      <c r="B134" s="3"/>
      <c r="C134" s="3"/>
      <c r="D134" s="3"/>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row>
    <row r="135" spans="1:87" s="2" customFormat="1" ht="12.75" hidden="1">
      <c r="A135" s="3"/>
      <c r="B135" s="3"/>
      <c r="C135" s="3"/>
      <c r="D135" s="3"/>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row>
    <row r="136" spans="1:87" s="2" customFormat="1" ht="12.75" hidden="1">
      <c r="A136" s="3"/>
      <c r="B136" s="3"/>
      <c r="C136" s="3"/>
      <c r="D136" s="3"/>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row>
    <row r="137" spans="1:87" s="2" customFormat="1" ht="12.75" hidden="1">
      <c r="A137" s="3"/>
      <c r="B137" s="3"/>
      <c r="C137" s="3"/>
      <c r="D137" s="3"/>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row>
    <row r="138" spans="1:87" s="2" customFormat="1" ht="12.75" hidden="1">
      <c r="A138" s="3"/>
      <c r="B138" s="3"/>
      <c r="C138" s="3"/>
      <c r="D138" s="3"/>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row>
    <row r="139" spans="1:87" s="2" customFormat="1" ht="12.75" hidden="1">
      <c r="A139" s="3"/>
      <c r="B139" s="3"/>
      <c r="C139" s="3"/>
      <c r="D139" s="3"/>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row>
    <row r="140" spans="1:87" s="2" customFormat="1" ht="12.75" hidden="1">
      <c r="A140" s="3"/>
      <c r="B140" s="3"/>
      <c r="C140" s="3"/>
      <c r="D140" s="3"/>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row>
    <row r="141" spans="1:87" s="2" customFormat="1" ht="12.75" hidden="1">
      <c r="A141" s="3"/>
      <c r="B141" s="3"/>
      <c r="C141" s="3"/>
      <c r="D141" s="3"/>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row>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sheetData>
  <sheetProtection/>
  <mergeCells count="4">
    <mergeCell ref="A21:C21"/>
    <mergeCell ref="A22:D22"/>
    <mergeCell ref="A52:C52"/>
    <mergeCell ref="A53:D53"/>
  </mergeCells>
  <dataValidations count="1">
    <dataValidation type="list" allowBlank="1" showInputMessage="1" showErrorMessage="1" sqref="HH65430">
      <formula1>Tabla!#REF!</formula1>
    </dataValidation>
  </dataValidations>
  <printOptions horizontalCentered="1"/>
  <pageMargins left="0" right="0" top="0" bottom="0" header="0" footer="0"/>
  <pageSetup fitToHeight="4" fitToWidth="1" horizontalDpi="600" verticalDpi="600" orientation="landscape" scale="58" r:id="rId1"/>
  <headerFooter alignWithMargins="0">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codeName="Hoja161">
    <tabColor indexed="49"/>
    <pageSetUpPr fitToPage="1"/>
  </sheetPr>
  <dimension ref="A1:BZ592"/>
  <sheetViews>
    <sheetView showGridLines="0" showRowColHeaders="0" zoomScalePageLayoutView="0" workbookViewId="0" topLeftCell="A4">
      <selection activeCell="J62" sqref="J62"/>
    </sheetView>
  </sheetViews>
  <sheetFormatPr defaultColWidth="0" defaultRowHeight="12.75" customHeight="1" zeroHeight="1"/>
  <cols>
    <col min="1" max="1" width="5.28125" style="1" customWidth="1"/>
    <col min="2" max="2" width="33.421875" style="1" customWidth="1"/>
    <col min="3" max="3" width="14.140625" style="1" bestFit="1" customWidth="1"/>
    <col min="4" max="4" width="13.421875" style="1" bestFit="1" customWidth="1"/>
    <col min="5" max="5" width="14.421875" style="1" customWidth="1"/>
    <col min="6" max="6" width="39.8515625" style="1" customWidth="1"/>
    <col min="7" max="7" width="12.8515625" style="1" customWidth="1"/>
    <col min="8" max="8" width="19.421875" style="1" customWidth="1"/>
    <col min="9" max="9" width="18.140625" style="1" bestFit="1" customWidth="1"/>
    <col min="10" max="10" width="15.140625" style="1" customWidth="1"/>
    <col min="11" max="11" width="12.7109375" style="1" bestFit="1" customWidth="1"/>
    <col min="12" max="12" width="13.57421875" style="1" bestFit="1" customWidth="1"/>
    <col min="13" max="13" width="2.57421875" style="1" customWidth="1"/>
    <col min="14" max="14" width="2.57421875" style="1" hidden="1" customWidth="1"/>
    <col min="15" max="15" width="11.7109375" style="1" hidden="1" customWidth="1"/>
    <col min="16" max="16" width="13.00390625" style="2" hidden="1" customWidth="1"/>
    <col min="17" max="17" width="11.57421875" style="2" hidden="1" customWidth="1"/>
    <col min="18" max="23" width="11.421875" style="1" hidden="1" customWidth="1"/>
    <col min="24" max="28" width="11.421875" style="3" hidden="1" customWidth="1"/>
    <col min="29" max="42" width="18.421875" style="3" hidden="1" customWidth="1"/>
    <col min="43" max="43" width="11.421875" style="3" hidden="1" customWidth="1"/>
    <col min="44" max="57" width="16.57421875" style="3" hidden="1" customWidth="1"/>
    <col min="58" max="58" width="11.421875" style="3" hidden="1" customWidth="1"/>
    <col min="59" max="72" width="17.140625" style="3" hidden="1" customWidth="1"/>
    <col min="73" max="73" width="11.421875" style="3" hidden="1" customWidth="1"/>
    <col min="74" max="74" width="15.8515625" style="3" hidden="1" customWidth="1"/>
    <col min="75" max="78" width="17.00390625" style="3" hidden="1" customWidth="1"/>
    <col min="79" max="83" width="17.00390625" style="1" hidden="1" customWidth="1"/>
    <col min="84" max="84" width="17.7109375" style="1" hidden="1" customWidth="1"/>
    <col min="85" max="86" width="17.00390625" style="1" hidden="1" customWidth="1"/>
    <col min="87" max="87" width="17.7109375" style="1" hidden="1" customWidth="1"/>
    <col min="88" max="16384" width="11.421875" style="1" hidden="1" customWidth="1"/>
  </cols>
  <sheetData>
    <row r="1" ht="12.75">
      <c r="A1" s="46" t="s">
        <v>155</v>
      </c>
    </row>
    <row r="2" ht="12.75">
      <c r="A2" s="46">
        <f>IF(C24="",C16,IF(ISERROR(C26/C13),"",(C26/C13)))</f>
        <v>0.85</v>
      </c>
    </row>
    <row r="3" ht="12.75"/>
    <row r="4" spans="1:14" ht="20.25">
      <c r="A4" s="353" t="s">
        <v>138</v>
      </c>
      <c r="B4" s="353"/>
      <c r="C4" s="353"/>
      <c r="D4" s="353"/>
      <c r="E4" s="353"/>
      <c r="F4" s="353"/>
      <c r="G4" s="353"/>
      <c r="H4" s="353"/>
      <c r="I4" s="353"/>
      <c r="J4" s="353"/>
      <c r="K4" s="353"/>
      <c r="L4" s="353"/>
      <c r="M4" s="317"/>
      <c r="N4" s="318"/>
    </row>
    <row r="5" spans="1:2" ht="19.5">
      <c r="A5" s="46">
        <v>8</v>
      </c>
      <c r="B5" s="293" t="s">
        <v>156</v>
      </c>
    </row>
    <row r="6" spans="1:2" ht="19.5">
      <c r="A6" s="3"/>
      <c r="B6" s="293" t="s">
        <v>157</v>
      </c>
    </row>
    <row r="7" spans="1:2" ht="12.75">
      <c r="A7" s="3"/>
      <c r="B7" s="294" t="s">
        <v>163</v>
      </c>
    </row>
    <row r="8" ht="12.75">
      <c r="A8" s="3"/>
    </row>
    <row r="9" ht="12.75">
      <c r="A9" s="3"/>
    </row>
    <row r="10" spans="1:78" s="5" customFormat="1" ht="12.75" customHeight="1">
      <c r="A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s="5" customFormat="1" ht="12.75" customHeight="1">
      <c r="A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s="5" customFormat="1" ht="13.5" customHeight="1">
      <c r="A12" s="4"/>
      <c r="B12" s="47" t="s">
        <v>44</v>
      </c>
      <c r="C12" s="48"/>
      <c r="D12" s="48"/>
      <c r="F12" s="49" t="s">
        <v>45</v>
      </c>
      <c r="G12" s="297">
        <f>PMT($C$17/12,$C$18,-C26,0,0)</f>
        <v>12668.639735648603</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s="5" customFormat="1" ht="12.75">
      <c r="A13" s="4"/>
      <c r="B13" s="50" t="s">
        <v>46</v>
      </c>
      <c r="C13" s="295">
        <f>Simulador!C20</f>
        <v>2000000</v>
      </c>
      <c r="F13" s="49" t="s">
        <v>47</v>
      </c>
      <c r="G13" s="297">
        <f>+C26*AB53/1000</f>
        <v>306</v>
      </c>
      <c r="X13" s="4"/>
      <c r="Y13" s="4"/>
      <c r="Z13" s="4"/>
      <c r="AA13" s="4"/>
      <c r="AB13" s="4"/>
      <c r="AC13" s="4"/>
      <c r="AD13" s="4"/>
      <c r="AE13" s="4"/>
      <c r="AF13" s="4"/>
      <c r="AG13" s="4"/>
      <c r="AH13" s="4"/>
      <c r="AI13" s="4"/>
      <c r="AJ13" s="4"/>
      <c r="AK13" s="51"/>
      <c r="AL13" s="52"/>
      <c r="AM13" s="52"/>
      <c r="AN13" s="52"/>
      <c r="AO13" s="52"/>
      <c r="AP13" s="52"/>
      <c r="AQ13" s="52"/>
      <c r="AR13" s="52"/>
      <c r="AS13" s="52"/>
      <c r="AT13" s="52"/>
      <c r="AU13" s="52"/>
      <c r="AV13" s="52"/>
      <c r="AW13" s="52"/>
      <c r="AX13" s="53"/>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s="5" customFormat="1" ht="12.75">
      <c r="A14" s="4"/>
      <c r="F14" s="49" t="s">
        <v>48</v>
      </c>
      <c r="G14" s="297">
        <f>AB54/1000*AC54*C13</f>
        <v>456</v>
      </c>
      <c r="X14" s="4"/>
      <c r="Y14" s="4"/>
      <c r="Z14" s="4"/>
      <c r="AA14" s="4"/>
      <c r="AB14" s="4"/>
      <c r="AC14" s="4"/>
      <c r="AD14" s="4"/>
      <c r="AE14" s="4"/>
      <c r="AF14" s="4"/>
      <c r="AG14" s="4"/>
      <c r="AH14" s="4"/>
      <c r="AI14" s="4"/>
      <c r="AJ14" s="4"/>
      <c r="AK14" s="54"/>
      <c r="AL14" s="55"/>
      <c r="AM14" s="55"/>
      <c r="AN14" s="55"/>
      <c r="AO14" s="55"/>
      <c r="AP14" s="55"/>
      <c r="AQ14" s="55"/>
      <c r="AR14" s="55"/>
      <c r="AS14" s="55"/>
      <c r="AT14" s="55"/>
      <c r="AU14" s="55"/>
      <c r="AV14" s="55">
        <v>1</v>
      </c>
      <c r="AW14" s="56">
        <v>0</v>
      </c>
      <c r="AX14" s="57"/>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s="5" customFormat="1" ht="12.75">
      <c r="A15" s="4"/>
      <c r="B15" s="255" t="s">
        <v>49</v>
      </c>
      <c r="C15" s="256"/>
      <c r="D15" s="257" t="s">
        <v>50</v>
      </c>
      <c r="E15" s="258"/>
      <c r="F15" s="49" t="s">
        <v>51</v>
      </c>
      <c r="G15" s="297">
        <f>250*1.16</f>
        <v>290</v>
      </c>
      <c r="X15" s="4"/>
      <c r="Y15" s="4"/>
      <c r="Z15" s="4"/>
      <c r="AA15" s="4"/>
      <c r="AB15" s="4"/>
      <c r="AC15" s="4"/>
      <c r="AD15" s="4"/>
      <c r="AE15" s="4"/>
      <c r="AF15" s="4"/>
      <c r="AG15" s="4"/>
      <c r="AH15" s="4"/>
      <c r="AI15" s="4"/>
      <c r="AJ15" s="4"/>
      <c r="AK15" s="54"/>
      <c r="AL15" s="55"/>
      <c r="AM15" s="55"/>
      <c r="AN15" s="55"/>
      <c r="AO15" s="55"/>
      <c r="AP15" s="55"/>
      <c r="AQ15" s="55"/>
      <c r="AR15" s="55"/>
      <c r="AS15" s="55"/>
      <c r="AT15" s="55"/>
      <c r="AU15" s="55"/>
      <c r="AV15" s="55">
        <v>2</v>
      </c>
      <c r="AW15" s="56">
        <v>0.01</v>
      </c>
      <c r="AX15" s="57"/>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s="5" customFormat="1" ht="12.75">
      <c r="A16" s="4"/>
      <c r="B16" s="259" t="s">
        <v>52</v>
      </c>
      <c r="C16" s="260">
        <f>VLOOKUP(A28,$AK$20:$AO$24,5,0)</f>
        <v>0.85</v>
      </c>
      <c r="D16" s="261">
        <f>A2</f>
        <v>0.85</v>
      </c>
      <c r="E16" s="258"/>
      <c r="F16" s="58" t="s">
        <v>53</v>
      </c>
      <c r="G16" s="298">
        <f>SUM(G12:G15)</f>
        <v>13720.639735648603</v>
      </c>
      <c r="X16" s="4"/>
      <c r="Y16" s="4"/>
      <c r="Z16" s="4"/>
      <c r="AA16" s="4"/>
      <c r="AB16" s="4"/>
      <c r="AC16" s="4"/>
      <c r="AD16" s="4"/>
      <c r="AE16" s="4"/>
      <c r="AF16" s="4"/>
      <c r="AG16" s="4"/>
      <c r="AH16" s="4"/>
      <c r="AI16" s="4"/>
      <c r="AJ16" s="4"/>
      <c r="AK16" s="54"/>
      <c r="AL16" s="55"/>
      <c r="AM16" s="55"/>
      <c r="AN16" s="55"/>
      <c r="AO16" s="55"/>
      <c r="AP16" s="55"/>
      <c r="AQ16" s="55"/>
      <c r="AR16" s="55"/>
      <c r="AS16" s="55"/>
      <c r="AT16" s="55"/>
      <c r="AU16" s="55"/>
      <c r="AV16" s="55">
        <v>3</v>
      </c>
      <c r="AW16" s="56">
        <v>0.02</v>
      </c>
      <c r="AX16" s="57"/>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s="5" customFormat="1" ht="12.75">
      <c r="A17" s="4"/>
      <c r="B17" s="50" t="s">
        <v>54</v>
      </c>
      <c r="C17" s="296">
        <f>Simulador!C33</f>
        <v>0.0969</v>
      </c>
      <c r="G17" s="265"/>
      <c r="X17" s="4"/>
      <c r="Y17" s="4"/>
      <c r="Z17" s="4"/>
      <c r="AA17" s="4"/>
      <c r="AB17" s="4"/>
      <c r="AC17" s="4"/>
      <c r="AD17" s="4"/>
      <c r="AE17" s="4"/>
      <c r="AF17" s="4"/>
      <c r="AG17" s="4"/>
      <c r="AH17" s="4"/>
      <c r="AI17" s="4"/>
      <c r="AJ17" s="4"/>
      <c r="AK17" s="54"/>
      <c r="AL17" s="55"/>
      <c r="AM17" s="55"/>
      <c r="AN17" s="55"/>
      <c r="AO17" s="55"/>
      <c r="AP17" s="55"/>
      <c r="AQ17" s="55"/>
      <c r="AR17" s="55"/>
      <c r="AS17" s="55"/>
      <c r="AT17" s="55"/>
      <c r="AU17" s="55"/>
      <c r="AV17" s="55">
        <v>4</v>
      </c>
      <c r="AW17" s="56">
        <v>0.03</v>
      </c>
      <c r="AX17" s="57"/>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5" customFormat="1" ht="15">
      <c r="A18" s="4"/>
      <c r="B18" s="50" t="s">
        <v>55</v>
      </c>
      <c r="C18" s="305">
        <f>VLOOKUP($K$34,$J$35:$K$38,2,0)</f>
        <v>180</v>
      </c>
      <c r="F18" s="60"/>
      <c r="X18" s="4"/>
      <c r="Y18" s="4"/>
      <c r="Z18" s="4"/>
      <c r="AA18" s="4"/>
      <c r="AB18" s="4"/>
      <c r="AC18" s="4"/>
      <c r="AD18" s="4"/>
      <c r="AE18" s="4"/>
      <c r="AF18" s="4"/>
      <c r="AG18" s="4"/>
      <c r="AH18" s="4"/>
      <c r="AI18" s="4"/>
      <c r="AJ18" s="4"/>
      <c r="AK18" s="61"/>
      <c r="AL18" s="62"/>
      <c r="AM18" s="62"/>
      <c r="AN18" s="62"/>
      <c r="AO18" s="62"/>
      <c r="AP18" s="62"/>
      <c r="AQ18" s="55"/>
      <c r="AR18" s="55"/>
      <c r="AS18" s="55"/>
      <c r="AT18" s="55"/>
      <c r="AU18" s="55"/>
      <c r="AV18" s="55">
        <v>5</v>
      </c>
      <c r="AW18" s="56">
        <v>0.04</v>
      </c>
      <c r="AX18" s="57"/>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s="5" customFormat="1" ht="12.75">
      <c r="A19" s="4"/>
      <c r="B19" s="255" t="s">
        <v>56</v>
      </c>
      <c r="C19" s="256"/>
      <c r="D19" s="256"/>
      <c r="X19" s="4"/>
      <c r="Y19" s="4"/>
      <c r="Z19" s="4"/>
      <c r="AA19" s="4"/>
      <c r="AB19" s="4"/>
      <c r="AC19" s="4"/>
      <c r="AD19" s="4"/>
      <c r="AE19" s="4"/>
      <c r="AF19" s="4"/>
      <c r="AG19" s="4"/>
      <c r="AH19" s="4"/>
      <c r="AI19" s="4"/>
      <c r="AJ19" s="4"/>
      <c r="AK19" s="61"/>
      <c r="AL19" s="62"/>
      <c r="AM19" s="62" t="s">
        <v>159</v>
      </c>
      <c r="AN19" s="62" t="s">
        <v>160</v>
      </c>
      <c r="AO19" s="62" t="s">
        <v>161</v>
      </c>
      <c r="AP19" s="62"/>
      <c r="AQ19" s="55"/>
      <c r="AR19" s="63">
        <f>(C16*C13)</f>
        <v>1700000</v>
      </c>
      <c r="AS19" s="63">
        <f>(C16*C13)</f>
        <v>1700000</v>
      </c>
      <c r="AT19" s="55"/>
      <c r="AU19" s="55"/>
      <c r="AV19" s="55">
        <v>6</v>
      </c>
      <c r="AW19" s="56">
        <v>0.05</v>
      </c>
      <c r="AX19" s="57"/>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s="5" customFormat="1" ht="12.75">
      <c r="A20" s="4"/>
      <c r="B20" s="262" t="s">
        <v>57</v>
      </c>
      <c r="C20" s="263"/>
      <c r="D20" s="264">
        <v>2</v>
      </c>
      <c r="X20" s="4"/>
      <c r="Y20" s="4"/>
      <c r="Z20" s="4"/>
      <c r="AA20" s="4"/>
      <c r="AB20" s="4"/>
      <c r="AC20" s="4"/>
      <c r="AD20" s="4"/>
      <c r="AE20" s="4"/>
      <c r="AF20" s="4"/>
      <c r="AG20" s="4"/>
      <c r="AH20" s="4"/>
      <c r="AI20" s="4"/>
      <c r="AJ20" s="4"/>
      <c r="AK20" s="61">
        <f>IF(AND(AL20&gt;=AM20,AL20&lt;=AN20),1,0)</f>
        <v>1</v>
      </c>
      <c r="AL20" s="64">
        <f>$C$13</f>
        <v>2000000</v>
      </c>
      <c r="AM20" s="65">
        <v>350000</v>
      </c>
      <c r="AN20" s="65">
        <v>3000000</v>
      </c>
      <c r="AO20" s="66">
        <v>0.85</v>
      </c>
      <c r="AP20" s="62"/>
      <c r="AQ20" s="55"/>
      <c r="AR20" s="63">
        <f>(A29*C13)-AH56</f>
        <v>1900000</v>
      </c>
      <c r="AS20" s="63">
        <f>(A29*C13)-AH56</f>
        <v>1900000</v>
      </c>
      <c r="AT20" s="55"/>
      <c r="AU20" s="55"/>
      <c r="AV20" s="55">
        <v>7</v>
      </c>
      <c r="AW20" s="56">
        <v>0.06</v>
      </c>
      <c r="AX20" s="57"/>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s="5" customFormat="1" ht="15">
      <c r="A21" s="67"/>
      <c r="X21" s="4"/>
      <c r="Y21" s="4"/>
      <c r="Z21" s="4"/>
      <c r="AA21" s="4"/>
      <c r="AB21" s="68">
        <v>0.01</v>
      </c>
      <c r="AC21" s="69"/>
      <c r="AD21" s="70"/>
      <c r="AE21" s="4"/>
      <c r="AF21" s="340" t="s">
        <v>18</v>
      </c>
      <c r="AG21" s="341"/>
      <c r="AH21" s="342"/>
      <c r="AI21" s="6">
        <f>C13</f>
        <v>2000000</v>
      </c>
      <c r="AJ21" s="4"/>
      <c r="AK21" s="61">
        <f>IF(AND(AL21&gt;=AM21,AL21&lt;=AN21),1,0)</f>
        <v>0</v>
      </c>
      <c r="AL21" s="64">
        <f>$C$13</f>
        <v>2000000</v>
      </c>
      <c r="AM21" s="65">
        <v>3000001</v>
      </c>
      <c r="AN21" s="65">
        <v>5000000</v>
      </c>
      <c r="AO21" s="66">
        <v>0.75</v>
      </c>
      <c r="AP21" s="62"/>
      <c r="AQ21" s="55"/>
      <c r="AR21" s="63">
        <f>(A30*C13)-AH56-AH57</f>
        <v>2000000</v>
      </c>
      <c r="AS21" s="63">
        <f>(A30*C13)-AH56-AH57</f>
        <v>2000000</v>
      </c>
      <c r="AT21" s="55"/>
      <c r="AU21" s="55"/>
      <c r="AV21" s="55">
        <v>8</v>
      </c>
      <c r="AW21" s="56">
        <v>0.07</v>
      </c>
      <c r="AX21" s="57"/>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s="5" customFormat="1" ht="12.75">
      <c r="A22" s="4"/>
      <c r="B22" s="71"/>
      <c r="X22" s="4"/>
      <c r="Y22" s="4"/>
      <c r="Z22" s="4"/>
      <c r="AA22" s="4"/>
      <c r="AB22" s="72">
        <v>1</v>
      </c>
      <c r="AC22" s="73"/>
      <c r="AD22" s="74"/>
      <c r="AE22" s="4"/>
      <c r="AF22" s="343"/>
      <c r="AG22" s="343"/>
      <c r="AH22" s="343"/>
      <c r="AI22" s="343"/>
      <c r="AJ22" s="4"/>
      <c r="AK22" s="61">
        <f>IF(AND(AL22&gt;=AM22,AL22&lt;=AN22),1,0)</f>
        <v>0</v>
      </c>
      <c r="AL22" s="64">
        <f>$C$13</f>
        <v>2000000</v>
      </c>
      <c r="AM22" s="65">
        <v>5000001</v>
      </c>
      <c r="AN22" s="65">
        <v>100000000</v>
      </c>
      <c r="AO22" s="66">
        <v>0.65</v>
      </c>
      <c r="AP22" s="62"/>
      <c r="AQ22" s="55"/>
      <c r="AR22" s="75">
        <f>MIN(AR19:AR21)</f>
        <v>1700000</v>
      </c>
      <c r="AS22" s="75">
        <f>MIN(AR19:AR21)</f>
        <v>1700000</v>
      </c>
      <c r="AT22" s="55"/>
      <c r="AU22" s="55"/>
      <c r="AV22" s="55">
        <v>9</v>
      </c>
      <c r="AW22" s="56">
        <v>0.08</v>
      </c>
      <c r="AX22" s="57"/>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s="5" customFormat="1" ht="15">
      <c r="A23" s="4"/>
      <c r="B23" s="255" t="s">
        <v>58</v>
      </c>
      <c r="C23" s="48"/>
      <c r="D23" s="48"/>
      <c r="X23" s="4"/>
      <c r="Y23" s="4"/>
      <c r="Z23" s="4"/>
      <c r="AA23" s="4"/>
      <c r="AB23" s="76"/>
      <c r="AC23" s="77"/>
      <c r="AD23" s="74"/>
      <c r="AE23" s="4"/>
      <c r="AF23" s="7" t="s">
        <v>19</v>
      </c>
      <c r="AG23" s="7" t="s">
        <v>20</v>
      </c>
      <c r="AH23" s="7" t="s">
        <v>21</v>
      </c>
      <c r="AI23" s="7" t="s">
        <v>22</v>
      </c>
      <c r="AJ23" s="4"/>
      <c r="AK23" s="61">
        <f>IF(AND(AL23&gt;=AM23,AL23&lt;=AN23),1,0)</f>
        <v>0</v>
      </c>
      <c r="AL23" s="64">
        <f>$C$13</f>
        <v>2000000</v>
      </c>
      <c r="AM23" s="65">
        <v>0</v>
      </c>
      <c r="AN23" s="65">
        <v>0</v>
      </c>
      <c r="AO23" s="66">
        <v>0</v>
      </c>
      <c r="AP23" s="62"/>
      <c r="AQ23" s="55"/>
      <c r="AR23" s="78"/>
      <c r="AS23" s="79" t="s">
        <v>59</v>
      </c>
      <c r="AT23" s="55"/>
      <c r="AU23" s="55"/>
      <c r="AV23" s="55">
        <v>10</v>
      </c>
      <c r="AW23" s="56">
        <v>0.09</v>
      </c>
      <c r="AX23" s="57"/>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s="5" customFormat="1" ht="15" customHeight="1">
      <c r="A24" s="4"/>
      <c r="B24" s="266" t="s">
        <v>60</v>
      </c>
      <c r="C24" s="267"/>
      <c r="D24" s="268"/>
      <c r="F24" s="274" t="s">
        <v>61</v>
      </c>
      <c r="G24" s="81"/>
      <c r="X24" s="4"/>
      <c r="Y24" s="4"/>
      <c r="Z24" s="4"/>
      <c r="AA24" s="4"/>
      <c r="AB24" s="76">
        <v>3</v>
      </c>
      <c r="AC24" s="82">
        <f>VLOOKUP(AB24,$AV$14:$AW$28,2,0)</f>
        <v>0.02</v>
      </c>
      <c r="AD24" s="74"/>
      <c r="AE24" s="4"/>
      <c r="AF24" s="8">
        <v>0</v>
      </c>
      <c r="AG24" s="8">
        <v>250000</v>
      </c>
      <c r="AH24" s="9">
        <f aca="true" t="shared" si="0" ref="AH24:AH49">IF(AND($AI$21&lt;=AG24,$AI$21&gt;=AF24),1,0)</f>
        <v>0</v>
      </c>
      <c r="AI24" s="10">
        <v>800</v>
      </c>
      <c r="AJ24" s="4"/>
      <c r="AK24" s="61">
        <f>IF(AND(AL24&gt;=AM24,AL24&lt;=AN24),1,0)</f>
        <v>0</v>
      </c>
      <c r="AL24" s="64">
        <f>$C$13</f>
        <v>2000000</v>
      </c>
      <c r="AM24" s="65">
        <v>0</v>
      </c>
      <c r="AN24" s="65">
        <v>0</v>
      </c>
      <c r="AO24" s="66">
        <v>0</v>
      </c>
      <c r="AP24" s="62"/>
      <c r="AQ24" s="55"/>
      <c r="AR24" s="83"/>
      <c r="AS24" s="84">
        <f>C26/C13</f>
        <v>0.6</v>
      </c>
      <c r="AT24" s="55"/>
      <c r="AU24" s="55"/>
      <c r="AV24" s="55">
        <v>11</v>
      </c>
      <c r="AW24" s="56">
        <v>0.1</v>
      </c>
      <c r="AX24" s="57"/>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s="5" customFormat="1" ht="12.75">
      <c r="A25" s="4"/>
      <c r="B25" s="266" t="s">
        <v>62</v>
      </c>
      <c r="C25" s="269"/>
      <c r="D25" s="268"/>
      <c r="F25" s="80" t="s">
        <v>63</v>
      </c>
      <c r="G25" s="299">
        <f>Simulador!C49</f>
        <v>5800</v>
      </c>
      <c r="X25" s="4"/>
      <c r="Y25" s="4"/>
      <c r="Z25" s="4"/>
      <c r="AA25" s="4"/>
      <c r="AB25" s="86"/>
      <c r="AC25" s="87"/>
      <c r="AD25" s="74"/>
      <c r="AE25" s="4"/>
      <c r="AF25" s="8">
        <v>250001</v>
      </c>
      <c r="AG25" s="11">
        <v>350000</v>
      </c>
      <c r="AH25" s="9">
        <f t="shared" si="0"/>
        <v>0</v>
      </c>
      <c r="AI25" s="10">
        <v>1000</v>
      </c>
      <c r="AJ25" s="4"/>
      <c r="AK25" s="61"/>
      <c r="AL25" s="62"/>
      <c r="AM25" s="62"/>
      <c r="AN25" s="62"/>
      <c r="AO25" s="62"/>
      <c r="AP25" s="62"/>
      <c r="AQ25" s="55"/>
      <c r="AR25" s="88"/>
      <c r="AS25" s="89">
        <f>(C26+AH56)/C13</f>
        <v>0.6</v>
      </c>
      <c r="AT25" s="55"/>
      <c r="AU25" s="55"/>
      <c r="AV25" s="55">
        <v>12</v>
      </c>
      <c r="AW25" s="56">
        <v>0.11</v>
      </c>
      <c r="AX25" s="57"/>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s="5" customFormat="1" ht="12.75">
      <c r="A26" s="90"/>
      <c r="B26" s="303" t="s">
        <v>64</v>
      </c>
      <c r="C26" s="302">
        <f>Simulador!C27</f>
        <v>1200000</v>
      </c>
      <c r="D26" s="304"/>
      <c r="F26" s="80" t="s">
        <v>15</v>
      </c>
      <c r="G26" s="299">
        <f>Simulador!C48</f>
        <v>0</v>
      </c>
      <c r="X26" s="4"/>
      <c r="Y26" s="4"/>
      <c r="Z26" s="4"/>
      <c r="AA26" s="4"/>
      <c r="AB26" s="76"/>
      <c r="AC26" s="77"/>
      <c r="AD26" s="74"/>
      <c r="AE26" s="4"/>
      <c r="AF26" s="8">
        <v>350001</v>
      </c>
      <c r="AG26" s="11">
        <v>500000</v>
      </c>
      <c r="AH26" s="9">
        <f t="shared" si="0"/>
        <v>0</v>
      </c>
      <c r="AI26" s="10">
        <v>1450</v>
      </c>
      <c r="AJ26" s="4"/>
      <c r="AK26" s="61"/>
      <c r="AL26" s="62"/>
      <c r="AM26" s="62"/>
      <c r="AN26" s="62"/>
      <c r="AO26" s="62"/>
      <c r="AP26" s="62"/>
      <c r="AQ26" s="55"/>
      <c r="AR26" s="88"/>
      <c r="AS26" s="91">
        <f>(C26+AH56+AH57)/C13</f>
        <v>0.6</v>
      </c>
      <c r="AT26" s="55"/>
      <c r="AU26" s="55"/>
      <c r="AV26" s="55">
        <v>13</v>
      </c>
      <c r="AW26" s="56">
        <v>0.12</v>
      </c>
      <c r="AX26" s="57"/>
      <c r="AY26" s="4"/>
      <c r="AZ26" s="92"/>
      <c r="BA26" s="93"/>
      <c r="BB26" s="93"/>
      <c r="BC26" s="93"/>
      <c r="BD26" s="93"/>
      <c r="BE26" s="93"/>
      <c r="BF26" s="93"/>
      <c r="BG26" s="93"/>
      <c r="BH26" s="93"/>
      <c r="BI26" s="93"/>
      <c r="BJ26" s="93"/>
      <c r="BK26" s="93"/>
      <c r="BL26" s="93"/>
      <c r="BM26" s="93"/>
      <c r="BN26" s="93"/>
      <c r="BO26" s="93"/>
      <c r="BP26" s="94"/>
      <c r="BQ26" s="4"/>
      <c r="BR26" s="4"/>
      <c r="BS26" s="4"/>
      <c r="BT26" s="4"/>
      <c r="BU26" s="4"/>
      <c r="BV26" s="4"/>
      <c r="BW26" s="4"/>
      <c r="BX26" s="4"/>
      <c r="BY26" s="4"/>
      <c r="BZ26" s="4"/>
    </row>
    <row r="27" spans="1:78" s="5" customFormat="1" ht="15" customHeight="1">
      <c r="A27" s="95">
        <v>8</v>
      </c>
      <c r="B27" s="270">
        <f>IF(C26&lt;E27,"Lo sentimos no financiamos montos de credito menores a:","")</f>
      </c>
      <c r="C27" s="270"/>
      <c r="D27" s="271">
        <f>IF(C26&lt;E27,E27,"")</f>
      </c>
      <c r="E27" s="46">
        <v>200000</v>
      </c>
      <c r="F27" s="96" t="s">
        <v>65</v>
      </c>
      <c r="G27" s="299">
        <f>Simulador!C47</f>
        <v>0</v>
      </c>
      <c r="X27" s="4"/>
      <c r="Y27" s="4"/>
      <c r="Z27" s="4"/>
      <c r="AA27" s="4"/>
      <c r="AB27" s="97"/>
      <c r="AC27" s="98"/>
      <c r="AD27" s="99"/>
      <c r="AE27" s="4"/>
      <c r="AF27" s="8">
        <v>500001</v>
      </c>
      <c r="AG27" s="11">
        <v>750000</v>
      </c>
      <c r="AH27" s="9">
        <f t="shared" si="0"/>
        <v>0</v>
      </c>
      <c r="AI27" s="10">
        <v>2050</v>
      </c>
      <c r="AJ27" s="4"/>
      <c r="AK27" s="61"/>
      <c r="AL27" s="62"/>
      <c r="AM27" s="62" t="s">
        <v>66</v>
      </c>
      <c r="AN27" s="62"/>
      <c r="AO27" s="62"/>
      <c r="AP27" s="62"/>
      <c r="AQ27" s="55"/>
      <c r="AR27" s="100">
        <f>AS22+C25+AH57+AH56+BB38</f>
        <v>1700000</v>
      </c>
      <c r="AS27" s="79"/>
      <c r="AT27" s="55"/>
      <c r="AU27" s="55"/>
      <c r="AV27" s="55">
        <v>14</v>
      </c>
      <c r="AW27" s="55"/>
      <c r="AX27" s="57"/>
      <c r="AY27" s="4"/>
      <c r="AZ27" s="101"/>
      <c r="BA27" s="102"/>
      <c r="BB27" s="102"/>
      <c r="BC27" s="102"/>
      <c r="BD27" s="102"/>
      <c r="BE27" s="102"/>
      <c r="BF27" s="102"/>
      <c r="BG27" s="102"/>
      <c r="BH27" s="102"/>
      <c r="BI27" s="102"/>
      <c r="BJ27" s="102"/>
      <c r="BK27" s="102"/>
      <c r="BL27" s="102"/>
      <c r="BM27" s="102"/>
      <c r="BN27" s="102"/>
      <c r="BO27" s="102"/>
      <c r="BP27" s="103"/>
      <c r="BQ27" s="4"/>
      <c r="BR27" s="4"/>
      <c r="BS27" s="4"/>
      <c r="BT27" s="4"/>
      <c r="BU27" s="4"/>
      <c r="BV27" s="4"/>
      <c r="BW27" s="4"/>
      <c r="BX27" s="4"/>
      <c r="BY27" s="4"/>
      <c r="BZ27" s="4"/>
    </row>
    <row r="28" spans="1:78" s="5" customFormat="1" ht="13.5" thickBot="1">
      <c r="A28" s="104">
        <v>1</v>
      </c>
      <c r="B28" s="255" t="s">
        <v>67</v>
      </c>
      <c r="C28" s="256"/>
      <c r="D28" s="256"/>
      <c r="F28" s="280" t="s">
        <v>68</v>
      </c>
      <c r="G28" s="300">
        <f>G27</f>
        <v>0</v>
      </c>
      <c r="X28" s="4"/>
      <c r="Y28" s="4"/>
      <c r="Z28" s="4"/>
      <c r="AA28" s="4"/>
      <c r="AB28" s="4"/>
      <c r="AC28" s="4"/>
      <c r="AD28" s="4"/>
      <c r="AE28" s="4"/>
      <c r="AF28" s="8">
        <v>750001</v>
      </c>
      <c r="AG28" s="11">
        <v>1000000</v>
      </c>
      <c r="AH28" s="9">
        <f t="shared" si="0"/>
        <v>0</v>
      </c>
      <c r="AI28" s="10">
        <v>2700</v>
      </c>
      <c r="AJ28" s="4"/>
      <c r="AK28" s="61"/>
      <c r="AL28" s="62"/>
      <c r="AM28" s="62" t="s">
        <v>69</v>
      </c>
      <c r="AN28" s="62"/>
      <c r="AO28" s="62"/>
      <c r="AP28" s="62"/>
      <c r="AQ28" s="55"/>
      <c r="AR28" s="100">
        <f>C26+C25+AH57+AH56+BB38</f>
        <v>1200000</v>
      </c>
      <c r="AS28" s="79"/>
      <c r="AT28" s="55"/>
      <c r="AU28" s="55"/>
      <c r="AV28" s="55">
        <v>15</v>
      </c>
      <c r="AW28" s="55"/>
      <c r="AX28" s="57"/>
      <c r="AY28" s="4"/>
      <c r="AZ28" s="105"/>
      <c r="BA28" s="106"/>
      <c r="BB28" s="106"/>
      <c r="BC28" s="106"/>
      <c r="BD28" s="106"/>
      <c r="BE28" s="106"/>
      <c r="BF28" s="106"/>
      <c r="BG28" s="106"/>
      <c r="BH28" s="106"/>
      <c r="BI28" s="106"/>
      <c r="BJ28" s="106"/>
      <c r="BK28" s="106"/>
      <c r="BL28" s="106"/>
      <c r="BM28" s="106"/>
      <c r="BN28" s="106"/>
      <c r="BO28" s="106"/>
      <c r="BP28" s="107"/>
      <c r="BQ28" s="4"/>
      <c r="BR28" s="4"/>
      <c r="BS28" s="4"/>
      <c r="BT28" s="4"/>
      <c r="BU28" s="4"/>
      <c r="BV28" s="4"/>
      <c r="BW28" s="4"/>
      <c r="BX28" s="4"/>
      <c r="BY28" s="4"/>
      <c r="BZ28" s="4"/>
    </row>
    <row r="29" spans="1:78" s="5" customFormat="1" ht="26.25" thickTop="1">
      <c r="A29" s="108">
        <v>0.95</v>
      </c>
      <c r="B29" s="272" t="s">
        <v>70</v>
      </c>
      <c r="C29" s="273"/>
      <c r="D29" s="258"/>
      <c r="F29" s="96" t="s">
        <v>13</v>
      </c>
      <c r="G29" s="299">
        <f>Simulador!C46</f>
        <v>48000</v>
      </c>
      <c r="X29" s="4"/>
      <c r="Y29" s="4"/>
      <c r="Z29" s="4"/>
      <c r="AA29" s="4"/>
      <c r="AB29" s="4"/>
      <c r="AC29" s="4"/>
      <c r="AD29" s="4"/>
      <c r="AE29" s="4"/>
      <c r="AF29" s="8">
        <v>1000001</v>
      </c>
      <c r="AG29" s="11">
        <v>1250000</v>
      </c>
      <c r="AH29" s="9">
        <f t="shared" si="0"/>
        <v>0</v>
      </c>
      <c r="AI29" s="10">
        <v>3350</v>
      </c>
      <c r="AJ29" s="4"/>
      <c r="AK29" s="109"/>
      <c r="AL29" s="110"/>
      <c r="AM29" s="62" t="s">
        <v>71</v>
      </c>
      <c r="AN29" s="110"/>
      <c r="AO29" s="110"/>
      <c r="AP29" s="110"/>
      <c r="AQ29" s="111"/>
      <c r="AR29" s="112">
        <f>C13-AR27</f>
        <v>300000</v>
      </c>
      <c r="AS29" s="111"/>
      <c r="AT29" s="111"/>
      <c r="AU29" s="111"/>
      <c r="AV29" s="111"/>
      <c r="AW29" s="111"/>
      <c r="AX29" s="113"/>
      <c r="AY29" s="4"/>
      <c r="AZ29" s="114" t="s">
        <v>156</v>
      </c>
      <c r="BA29" s="115">
        <v>2</v>
      </c>
      <c r="BB29" s="116">
        <v>20</v>
      </c>
      <c r="BC29" s="115">
        <v>8</v>
      </c>
      <c r="BD29" s="79"/>
      <c r="BE29" s="117" t="s">
        <v>162</v>
      </c>
      <c r="BF29" s="55"/>
      <c r="BG29" s="55"/>
      <c r="BH29" s="55"/>
      <c r="BI29" s="55"/>
      <c r="BJ29" s="55"/>
      <c r="BK29" s="55"/>
      <c r="BL29" s="55"/>
      <c r="BM29" s="55"/>
      <c r="BN29" s="55"/>
      <c r="BO29" s="55"/>
      <c r="BP29" s="57"/>
      <c r="BQ29" s="4"/>
      <c r="BR29" s="4"/>
      <c r="BS29" s="4"/>
      <c r="BT29" s="4"/>
      <c r="BU29" s="4"/>
      <c r="BV29" s="4"/>
      <c r="BW29" s="4"/>
      <c r="BX29" s="4"/>
      <c r="BY29" s="4"/>
      <c r="BZ29" s="4"/>
    </row>
    <row r="30" spans="1:78" s="12" customFormat="1" ht="18">
      <c r="A30" s="108">
        <v>1</v>
      </c>
      <c r="B30" s="274" t="s">
        <v>72</v>
      </c>
      <c r="C30" s="275">
        <f>IF(ISERROR(G29),"",(G29))</f>
        <v>48000</v>
      </c>
      <c r="D30" s="270"/>
      <c r="E30" s="1"/>
      <c r="F30" s="280" t="s">
        <v>73</v>
      </c>
      <c r="G30" s="281">
        <f>G29</f>
        <v>48000</v>
      </c>
      <c r="M30" s="1"/>
      <c r="N30" s="1"/>
      <c r="O30" s="1"/>
      <c r="P30" s="2"/>
      <c r="Q30" s="2"/>
      <c r="R30" s="1"/>
      <c r="S30" s="1"/>
      <c r="T30" s="1"/>
      <c r="U30" s="1"/>
      <c r="V30" s="1"/>
      <c r="W30" s="1"/>
      <c r="X30" s="3"/>
      <c r="Y30" s="3"/>
      <c r="Z30" s="3"/>
      <c r="AA30" s="118"/>
      <c r="AB30" s="118"/>
      <c r="AC30" s="118"/>
      <c r="AD30" s="118"/>
      <c r="AE30" s="118"/>
      <c r="AF30" s="8">
        <v>1250001</v>
      </c>
      <c r="AG30" s="11">
        <v>1500000</v>
      </c>
      <c r="AH30" s="9">
        <f t="shared" si="0"/>
        <v>0</v>
      </c>
      <c r="AI30" s="10">
        <v>4000</v>
      </c>
      <c r="AJ30" s="118"/>
      <c r="AK30" s="119"/>
      <c r="AL30" s="120"/>
      <c r="AM30" s="62" t="s">
        <v>74</v>
      </c>
      <c r="AN30" s="120"/>
      <c r="AO30" s="120"/>
      <c r="AP30" s="120"/>
      <c r="AQ30" s="121"/>
      <c r="AR30" s="121"/>
      <c r="AS30" s="121"/>
      <c r="AT30" s="121"/>
      <c r="AU30" s="121"/>
      <c r="AV30" s="121"/>
      <c r="AW30" s="121"/>
      <c r="AX30" s="74"/>
      <c r="AY30" s="118"/>
      <c r="AZ30" s="122" t="s">
        <v>75</v>
      </c>
      <c r="BA30" s="79"/>
      <c r="BB30" s="79"/>
      <c r="BC30" s="79"/>
      <c r="BD30" s="79"/>
      <c r="BE30" s="55"/>
      <c r="BF30" s="55"/>
      <c r="BG30" s="55"/>
      <c r="BH30" s="123">
        <v>0.16</v>
      </c>
      <c r="BI30" s="55"/>
      <c r="BJ30" s="55"/>
      <c r="BK30" s="55"/>
      <c r="BL30" s="55"/>
      <c r="BM30" s="55"/>
      <c r="BN30" s="55"/>
      <c r="BO30" s="55"/>
      <c r="BP30" s="57"/>
      <c r="BQ30" s="118"/>
      <c r="BR30" s="118"/>
      <c r="BS30" s="118"/>
      <c r="BT30" s="118"/>
      <c r="BU30" s="118"/>
      <c r="BV30" s="118"/>
      <c r="BW30" s="118"/>
      <c r="BX30" s="118"/>
      <c r="BY30" s="118"/>
      <c r="BZ30" s="118"/>
    </row>
    <row r="31" spans="1:68" ht="15">
      <c r="A31" s="95"/>
      <c r="B31" s="274" t="s">
        <v>76</v>
      </c>
      <c r="C31" s="276">
        <f>IF(ISERROR(AB42/C30),"",(AB42/C30))</f>
        <v>1</v>
      </c>
      <c r="D31" s="270"/>
      <c r="F31" s="124" t="s">
        <v>77</v>
      </c>
      <c r="G31" s="59">
        <f>SUM(G24:G26,G28,G30)</f>
        <v>53800</v>
      </c>
      <c r="AB31" s="51">
        <v>1</v>
      </c>
      <c r="AC31" s="125" t="s">
        <v>78</v>
      </c>
      <c r="AF31" s="8">
        <v>1500001</v>
      </c>
      <c r="AG31" s="11">
        <v>1750000</v>
      </c>
      <c r="AH31" s="9">
        <f t="shared" si="0"/>
        <v>0</v>
      </c>
      <c r="AI31" s="10">
        <v>4650</v>
      </c>
      <c r="AK31" s="126"/>
      <c r="AL31" s="120"/>
      <c r="AM31" s="120"/>
      <c r="AN31" s="120"/>
      <c r="AO31" s="120"/>
      <c r="AP31" s="120"/>
      <c r="AQ31" s="121"/>
      <c r="AR31" s="79" t="s">
        <v>79</v>
      </c>
      <c r="AS31" s="55"/>
      <c r="AT31" s="55"/>
      <c r="AU31" s="121"/>
      <c r="AV31" s="121"/>
      <c r="AW31" s="121"/>
      <c r="AX31" s="74"/>
      <c r="AZ31" s="127" t="s">
        <v>80</v>
      </c>
      <c r="BA31" s="128"/>
      <c r="BB31" s="129" t="s">
        <v>81</v>
      </c>
      <c r="BC31" s="128"/>
      <c r="BD31" s="128"/>
      <c r="BE31" s="130"/>
      <c r="BF31" s="130"/>
      <c r="BG31" s="130"/>
      <c r="BH31" s="130"/>
      <c r="BI31" s="130"/>
      <c r="BJ31" s="130"/>
      <c r="BK31" s="130"/>
      <c r="BL31" s="130"/>
      <c r="BM31" s="130"/>
      <c r="BN31" s="130"/>
      <c r="BO31" s="130"/>
      <c r="BP31" s="131"/>
    </row>
    <row r="32" spans="1:50" ht="15.75" customHeight="1">
      <c r="A32" s="132"/>
      <c r="B32" s="274" t="s">
        <v>82</v>
      </c>
      <c r="C32" s="275">
        <f>IF(ISERROR(C31*C30),"",(C31*C30))</f>
        <v>48000</v>
      </c>
      <c r="D32" s="270"/>
      <c r="AB32" s="54">
        <v>2</v>
      </c>
      <c r="AC32" s="133" t="s">
        <v>83</v>
      </c>
      <c r="AF32" s="8">
        <v>1750001</v>
      </c>
      <c r="AG32" s="11">
        <v>2000000</v>
      </c>
      <c r="AH32" s="9">
        <f t="shared" si="0"/>
        <v>1</v>
      </c>
      <c r="AI32" s="10">
        <v>5300</v>
      </c>
      <c r="AK32" s="126"/>
      <c r="AL32" s="120" t="s">
        <v>84</v>
      </c>
      <c r="AM32" s="134">
        <f>+PMT(C17/12,C18,-1000)</f>
        <v>10.55719977970717</v>
      </c>
      <c r="AN32" s="120"/>
      <c r="AO32" s="120"/>
      <c r="AP32" s="120"/>
      <c r="AQ32" s="121"/>
      <c r="AR32" s="135">
        <f>C16</f>
        <v>0.85</v>
      </c>
      <c r="AS32" s="55" t="b">
        <f>AS24&lt;=AR32</f>
        <v>1</v>
      </c>
      <c r="AT32" s="136">
        <f>C26</f>
        <v>1200000</v>
      </c>
      <c r="AU32" s="121"/>
      <c r="AV32" s="121"/>
      <c r="AW32" s="121"/>
      <c r="AX32" s="74"/>
    </row>
    <row r="33" spans="1:50" ht="25.5">
      <c r="A33" s="137"/>
      <c r="B33" s="272" t="s">
        <v>85</v>
      </c>
      <c r="C33" s="273"/>
      <c r="D33" s="277"/>
      <c r="E33" s="138"/>
      <c r="H33" s="85"/>
      <c r="AB33" s="54"/>
      <c r="AC33" s="133"/>
      <c r="AF33" s="8">
        <v>2000001</v>
      </c>
      <c r="AG33" s="11">
        <v>2250000</v>
      </c>
      <c r="AH33" s="9">
        <f t="shared" si="0"/>
        <v>0</v>
      </c>
      <c r="AI33" s="10">
        <v>5950</v>
      </c>
      <c r="AK33" s="126"/>
      <c r="AL33" s="121"/>
      <c r="AM33" s="139"/>
      <c r="AN33" s="120"/>
      <c r="AO33" s="120"/>
      <c r="AP33" s="120"/>
      <c r="AQ33" s="121"/>
      <c r="AR33" s="140">
        <v>0.95</v>
      </c>
      <c r="AS33" s="55" t="b">
        <f>AS25&lt;=AR33</f>
        <v>1</v>
      </c>
      <c r="AT33" s="136">
        <f>C26+AH56</f>
        <v>1200000</v>
      </c>
      <c r="AU33" s="121"/>
      <c r="AV33" s="121"/>
      <c r="AW33" s="121"/>
      <c r="AX33" s="74"/>
    </row>
    <row r="34" spans="1:50" ht="15">
      <c r="A34" s="141"/>
      <c r="B34" s="274" t="s">
        <v>86</v>
      </c>
      <c r="C34" s="275">
        <f>IF(ISERROR(G27),"",(G27))</f>
        <v>0</v>
      </c>
      <c r="D34" s="278"/>
      <c r="E34" s="142"/>
      <c r="H34" s="142"/>
      <c r="J34" s="270"/>
      <c r="K34" s="307">
        <v>3</v>
      </c>
      <c r="AB34" s="54"/>
      <c r="AC34" s="133"/>
      <c r="AF34" s="8">
        <v>2250001</v>
      </c>
      <c r="AG34" s="11">
        <v>2500000</v>
      </c>
      <c r="AH34" s="9">
        <f t="shared" si="0"/>
        <v>0</v>
      </c>
      <c r="AI34" s="10">
        <v>6600</v>
      </c>
      <c r="AK34" s="143"/>
      <c r="AL34" s="121"/>
      <c r="AM34" s="144"/>
      <c r="AN34" s="144"/>
      <c r="AO34" s="145"/>
      <c r="AP34" s="145"/>
      <c r="AQ34" s="121"/>
      <c r="AR34" s="140">
        <v>1</v>
      </c>
      <c r="AS34" s="55" t="b">
        <f>AS26&lt;=AR34</f>
        <v>1</v>
      </c>
      <c r="AT34" s="146">
        <f>AH56+AH57+C26</f>
        <v>1200000</v>
      </c>
      <c r="AU34" s="121"/>
      <c r="AV34" s="121"/>
      <c r="AW34" s="121"/>
      <c r="AX34" s="74"/>
    </row>
    <row r="35" spans="1:50" ht="15.75" customHeight="1">
      <c r="A35" s="147" t="e">
        <v>#N/A</v>
      </c>
      <c r="B35" s="274" t="s">
        <v>76</v>
      </c>
      <c r="C35" s="276">
        <f>IF(ISERROR(AB46/C34),"",(AB46/C34))</f>
      </c>
      <c r="D35" s="278"/>
      <c r="E35" s="142"/>
      <c r="F35" s="2" t="s">
        <v>87</v>
      </c>
      <c r="G35" s="1">
        <f>MAX(A57:A297)</f>
        <v>180</v>
      </c>
      <c r="H35" s="142"/>
      <c r="J35" s="270">
        <v>1</v>
      </c>
      <c r="K35" s="306">
        <f>Simulador!C31</f>
        <v>151</v>
      </c>
      <c r="AB35" s="148">
        <v>2</v>
      </c>
      <c r="AC35" s="57"/>
      <c r="AF35" s="8">
        <v>2500001</v>
      </c>
      <c r="AG35" s="11">
        <v>2750000</v>
      </c>
      <c r="AH35" s="9">
        <f t="shared" si="0"/>
        <v>0</v>
      </c>
      <c r="AI35" s="10">
        <v>7250</v>
      </c>
      <c r="AK35" s="143"/>
      <c r="AL35" s="121" t="s">
        <v>88</v>
      </c>
      <c r="AM35" s="149">
        <f>+G16/C26*1000</f>
        <v>11.433866446373836</v>
      </c>
      <c r="AN35" s="150" t="s">
        <v>89</v>
      </c>
      <c r="AO35" s="145"/>
      <c r="AP35" s="145"/>
      <c r="AQ35" s="121"/>
      <c r="AR35" s="121"/>
      <c r="AS35" s="121"/>
      <c r="AT35" s="121"/>
      <c r="AU35" s="121"/>
      <c r="AV35" s="121"/>
      <c r="AW35" s="121"/>
      <c r="AX35" s="74"/>
    </row>
    <row r="36" spans="1:54" ht="12.75">
      <c r="A36" s="137"/>
      <c r="B36" s="274" t="s">
        <v>82</v>
      </c>
      <c r="C36" s="275">
        <f>IF(ISERROR(C35*C34),"",(C35*C34))</f>
      </c>
      <c r="D36" s="279"/>
      <c r="E36" s="142"/>
      <c r="F36" s="2" t="s">
        <v>90</v>
      </c>
      <c r="G36" s="151">
        <f>(C18-G35)</f>
        <v>0</v>
      </c>
      <c r="H36" s="152"/>
      <c r="J36" s="270">
        <v>2</v>
      </c>
      <c r="K36" s="258">
        <f>10*12</f>
        <v>120</v>
      </c>
      <c r="AB36" s="153">
        <v>2</v>
      </c>
      <c r="AC36" s="57"/>
      <c r="AF36" s="8">
        <v>2750001</v>
      </c>
      <c r="AG36" s="11">
        <v>3000000</v>
      </c>
      <c r="AH36" s="9">
        <f t="shared" si="0"/>
        <v>0</v>
      </c>
      <c r="AI36" s="10">
        <v>7900</v>
      </c>
      <c r="AK36" s="143"/>
      <c r="AL36" s="145"/>
      <c r="AM36" s="145"/>
      <c r="AN36" s="150" t="s">
        <v>91</v>
      </c>
      <c r="AO36" s="145"/>
      <c r="AP36" s="145"/>
      <c r="AQ36" s="121"/>
      <c r="AR36" s="121"/>
      <c r="AS36" s="121"/>
      <c r="AT36" s="121"/>
      <c r="AU36" s="121"/>
      <c r="AV36" s="121"/>
      <c r="AW36" s="121"/>
      <c r="AX36" s="74"/>
      <c r="AZ36" s="51"/>
      <c r="BA36" s="52"/>
      <c r="BB36" s="53"/>
    </row>
    <row r="37" spans="1:54" ht="12.75">
      <c r="A37" s="3"/>
      <c r="D37" s="154"/>
      <c r="E37" s="142"/>
      <c r="H37" s="155"/>
      <c r="J37" s="270">
        <v>3</v>
      </c>
      <c r="K37" s="258">
        <f>15*12</f>
        <v>180</v>
      </c>
      <c r="Z37" s="156">
        <v>8</v>
      </c>
      <c r="AB37" s="157">
        <f>C13*C16</f>
        <v>1700000</v>
      </c>
      <c r="AC37" s="158" t="s">
        <v>92</v>
      </c>
      <c r="AF37" s="8">
        <v>3000001</v>
      </c>
      <c r="AG37" s="11">
        <v>3250000</v>
      </c>
      <c r="AH37" s="9">
        <f t="shared" si="0"/>
        <v>0</v>
      </c>
      <c r="AI37" s="10">
        <v>8550</v>
      </c>
      <c r="AK37" s="143"/>
      <c r="AL37" s="145"/>
      <c r="AM37" s="145"/>
      <c r="AN37" s="150" t="s">
        <v>93</v>
      </c>
      <c r="AO37" s="145"/>
      <c r="AP37" s="145"/>
      <c r="AQ37" s="121"/>
      <c r="AR37" s="121"/>
      <c r="AS37" s="121"/>
      <c r="AT37" s="121"/>
      <c r="AU37" s="121"/>
      <c r="AV37" s="121"/>
      <c r="AW37" s="121"/>
      <c r="AX37" s="74"/>
      <c r="AZ37" s="54"/>
      <c r="BA37" s="55"/>
      <c r="BB37" s="57"/>
    </row>
    <row r="38" spans="1:54" ht="12.75">
      <c r="A38" s="3"/>
      <c r="B38" s="47" t="s">
        <v>94</v>
      </c>
      <c r="C38" s="48"/>
      <c r="D38" s="48"/>
      <c r="E38" s="142"/>
      <c r="H38" s="159"/>
      <c r="J38" s="270">
        <v>4</v>
      </c>
      <c r="K38" s="258">
        <f>20*12</f>
        <v>240</v>
      </c>
      <c r="Z38" s="160">
        <v>0</v>
      </c>
      <c r="AB38" s="157">
        <f>C24</f>
        <v>0</v>
      </c>
      <c r="AC38" s="158" t="s">
        <v>95</v>
      </c>
      <c r="AF38" s="8">
        <v>3250001</v>
      </c>
      <c r="AG38" s="11">
        <v>3500000</v>
      </c>
      <c r="AH38" s="9">
        <f t="shared" si="0"/>
        <v>0</v>
      </c>
      <c r="AI38" s="10">
        <v>9200</v>
      </c>
      <c r="AK38" s="143"/>
      <c r="AL38" s="145"/>
      <c r="AM38" s="145"/>
      <c r="AN38" s="161">
        <f>+C26*AM57</f>
        <v>12000</v>
      </c>
      <c r="AO38" s="145"/>
      <c r="AP38" s="145"/>
      <c r="AQ38" s="121"/>
      <c r="AR38" s="344" t="s">
        <v>96</v>
      </c>
      <c r="AS38" s="344"/>
      <c r="AT38" s="344"/>
      <c r="AU38" s="344"/>
      <c r="AV38" s="344"/>
      <c r="AW38" s="121"/>
      <c r="AX38" s="74"/>
      <c r="AZ38" s="54"/>
      <c r="BA38" s="162" t="s">
        <v>97</v>
      </c>
      <c r="BB38" s="163">
        <v>0</v>
      </c>
    </row>
    <row r="39" spans="1:54" ht="12.75">
      <c r="A39" s="3"/>
      <c r="C39" s="80" t="s">
        <v>164</v>
      </c>
      <c r="D39" s="164">
        <f>$P$51</f>
        <v>0.11624034903107705</v>
      </c>
      <c r="E39" s="142"/>
      <c r="H39" s="142"/>
      <c r="I39" s="142"/>
      <c r="J39" s="142"/>
      <c r="Z39" s="165">
        <f>MIN(AB37:AB38)</f>
        <v>0</v>
      </c>
      <c r="AA39" s="166">
        <f>AB39*AC24</f>
        <v>0</v>
      </c>
      <c r="AB39" s="167">
        <f>MIN(Z38:Z39)</f>
        <v>0</v>
      </c>
      <c r="AC39" s="168" t="s">
        <v>98</v>
      </c>
      <c r="AF39" s="8">
        <v>3500001</v>
      </c>
      <c r="AG39" s="11">
        <v>3750000</v>
      </c>
      <c r="AH39" s="9">
        <f t="shared" si="0"/>
        <v>0</v>
      </c>
      <c r="AI39" s="10">
        <v>9850</v>
      </c>
      <c r="AK39" s="143"/>
      <c r="AL39" s="145"/>
      <c r="AM39" s="145"/>
      <c r="AN39" s="145"/>
      <c r="AO39" s="145"/>
      <c r="AP39" s="145"/>
      <c r="AQ39" s="121"/>
      <c r="AR39" s="121"/>
      <c r="AS39" s="121"/>
      <c r="AT39" s="169" t="s">
        <v>99</v>
      </c>
      <c r="AU39" s="170">
        <v>0.5226</v>
      </c>
      <c r="AV39" s="171">
        <f>+AU39/1000*C26</f>
        <v>627.1199999999999</v>
      </c>
      <c r="AW39" s="121"/>
      <c r="AX39" s="74"/>
      <c r="AZ39" s="172"/>
      <c r="BA39" s="130"/>
      <c r="BB39" s="131"/>
    </row>
    <row r="40" spans="1:50" ht="12.75">
      <c r="A40" s="3"/>
      <c r="B40" s="301" t="s">
        <v>42</v>
      </c>
      <c r="AB40" s="173">
        <f>AB39+G29</f>
        <v>48000</v>
      </c>
      <c r="AC40" s="158" t="s">
        <v>100</v>
      </c>
      <c r="AF40" s="8">
        <v>3750001</v>
      </c>
      <c r="AG40" s="11">
        <v>4000000</v>
      </c>
      <c r="AH40" s="9">
        <f t="shared" si="0"/>
        <v>0</v>
      </c>
      <c r="AI40" s="10">
        <v>10500</v>
      </c>
      <c r="AK40" s="174"/>
      <c r="AL40" s="145"/>
      <c r="AM40" s="145"/>
      <c r="AN40" s="145"/>
      <c r="AO40" s="145"/>
      <c r="AP40" s="145"/>
      <c r="AQ40" s="121"/>
      <c r="AR40" s="121"/>
      <c r="AS40" s="121"/>
      <c r="AT40" s="169" t="s">
        <v>101</v>
      </c>
      <c r="AU40" s="170">
        <f>0.285/(1+BH30)</f>
        <v>0.24568965517241378</v>
      </c>
      <c r="AV40" s="171">
        <f>+AU40/1000*C13*AV41</f>
        <v>319.3965517241379</v>
      </c>
      <c r="AW40" s="121"/>
      <c r="AX40" s="74"/>
    </row>
    <row r="41" spans="1:50" ht="12.75">
      <c r="A41" s="3"/>
      <c r="B41" s="345" t="str">
        <f>Simulador!B62</f>
        <v>La comisión por apertura y gastos notariales pueden ser financiados hasta el 100%, dentro del porcentaje de financiamiento máximo que es de 85%, siempre y cuando el cliente cuente con la capacidad de pago de acuerdo a la evaluación de crédito de HSBC.                                                                            </v>
      </c>
      <c r="C41" s="345"/>
      <c r="D41" s="345"/>
      <c r="E41" s="345"/>
      <c r="F41" s="345"/>
      <c r="G41" s="345"/>
      <c r="H41" s="345"/>
      <c r="I41" s="345"/>
      <c r="J41" s="345"/>
      <c r="K41" s="345"/>
      <c r="AB41" s="175">
        <f>MIN(AB40,AB37,AB48)</f>
        <v>48000</v>
      </c>
      <c r="AC41" s="168" t="s">
        <v>102</v>
      </c>
      <c r="AF41" s="8">
        <v>4000001</v>
      </c>
      <c r="AG41" s="11">
        <v>4250000</v>
      </c>
      <c r="AH41" s="9">
        <f t="shared" si="0"/>
        <v>0</v>
      </c>
      <c r="AI41" s="10">
        <v>11150</v>
      </c>
      <c r="AK41" s="176">
        <f>+(AN56)/$C$26</f>
        <v>0</v>
      </c>
      <c r="AL41" s="145"/>
      <c r="AM41" s="145"/>
      <c r="AN41" s="150" t="s">
        <v>103</v>
      </c>
      <c r="AO41" s="177">
        <v>0.85</v>
      </c>
      <c r="AP41" s="145"/>
      <c r="AQ41" s="121"/>
      <c r="AR41" s="121"/>
      <c r="AS41" s="121"/>
      <c r="AT41" s="169" t="s">
        <v>104</v>
      </c>
      <c r="AU41" s="121"/>
      <c r="AV41" s="178">
        <v>0.65</v>
      </c>
      <c r="AW41" s="121"/>
      <c r="AX41" s="74"/>
    </row>
    <row r="42" spans="1:50" ht="12.75">
      <c r="A42" s="3"/>
      <c r="B42" s="345" t="str">
        <f>Simulador!B67</f>
        <v>Las políticas y la información del producto contenida en este simulador están sujetas a cambio sin previo aviso.                                                                                                                                 </v>
      </c>
      <c r="C42" s="345"/>
      <c r="D42" s="345"/>
      <c r="E42" s="345"/>
      <c r="F42" s="345"/>
      <c r="G42" s="345"/>
      <c r="H42" s="345"/>
      <c r="I42" s="345"/>
      <c r="J42" s="345"/>
      <c r="K42" s="345"/>
      <c r="AB42" s="179">
        <f>AB41-AB39</f>
        <v>48000</v>
      </c>
      <c r="AC42" s="158" t="s">
        <v>105</v>
      </c>
      <c r="AF42" s="8">
        <v>4250001</v>
      </c>
      <c r="AG42" s="11">
        <v>4500000</v>
      </c>
      <c r="AH42" s="9">
        <f t="shared" si="0"/>
        <v>0</v>
      </c>
      <c r="AI42" s="10">
        <v>11800</v>
      </c>
      <c r="AK42" s="176"/>
      <c r="AL42" s="145"/>
      <c r="AM42" s="145"/>
      <c r="AN42" s="150" t="s">
        <v>106</v>
      </c>
      <c r="AO42" s="177">
        <v>0.7</v>
      </c>
      <c r="AP42" s="145"/>
      <c r="AQ42" s="121"/>
      <c r="AR42" s="121"/>
      <c r="AS42" s="121"/>
      <c r="AT42" s="121"/>
      <c r="AU42" s="121"/>
      <c r="AV42" s="121"/>
      <c r="AW42" s="121"/>
      <c r="AX42" s="74"/>
    </row>
    <row r="43" spans="1:50" ht="12.75">
      <c r="A43" s="3"/>
      <c r="B43" s="345" t="s">
        <v>166</v>
      </c>
      <c r="C43" s="345"/>
      <c r="D43" s="345"/>
      <c r="E43" s="345"/>
      <c r="F43" s="345"/>
      <c r="G43" s="345"/>
      <c r="H43" s="345"/>
      <c r="I43" s="345"/>
      <c r="J43" s="345"/>
      <c r="K43" s="345"/>
      <c r="L43" s="180"/>
      <c r="AB43" s="181">
        <f>IF(AB36=1,AB39+AB42,AB39)</f>
        <v>0</v>
      </c>
      <c r="AC43" s="182" t="s">
        <v>107</v>
      </c>
      <c r="AF43" s="8">
        <v>4500001</v>
      </c>
      <c r="AG43" s="11">
        <v>4750000</v>
      </c>
      <c r="AH43" s="9">
        <f t="shared" si="0"/>
        <v>0</v>
      </c>
      <c r="AI43" s="10">
        <v>12450</v>
      </c>
      <c r="AK43" s="183">
        <f>+AM57+AK41</f>
        <v>0.01</v>
      </c>
      <c r="AL43" s="145"/>
      <c r="AM43" s="145"/>
      <c r="AN43" s="145"/>
      <c r="AO43" s="145"/>
      <c r="AP43" s="145"/>
      <c r="AQ43" s="121"/>
      <c r="AR43" s="121"/>
      <c r="AS43" s="121"/>
      <c r="AT43" s="121"/>
      <c r="AU43" s="121"/>
      <c r="AV43" s="121"/>
      <c r="AW43" s="121"/>
      <c r="AX43" s="74"/>
    </row>
    <row r="44" spans="1:50" ht="42.75" customHeight="1">
      <c r="A44" s="3"/>
      <c r="B44" s="346" t="s">
        <v>165</v>
      </c>
      <c r="C44" s="347"/>
      <c r="D44" s="347"/>
      <c r="E44" s="347"/>
      <c r="F44" s="347"/>
      <c r="G44" s="347"/>
      <c r="H44" s="347"/>
      <c r="I44" s="347"/>
      <c r="J44" s="347"/>
      <c r="K44" s="347"/>
      <c r="AB44" s="184">
        <f>AB43*(1+AB21)</f>
        <v>0</v>
      </c>
      <c r="AC44" s="185" t="s">
        <v>108</v>
      </c>
      <c r="AF44" s="8">
        <v>4750001</v>
      </c>
      <c r="AG44" s="11">
        <v>5000000</v>
      </c>
      <c r="AH44" s="9">
        <f t="shared" si="0"/>
        <v>0</v>
      </c>
      <c r="AI44" s="10">
        <v>13100</v>
      </c>
      <c r="AK44" s="174"/>
      <c r="AL44" s="145"/>
      <c r="AM44" s="145"/>
      <c r="AN44" s="145"/>
      <c r="AO44" s="145"/>
      <c r="AP44" s="145"/>
      <c r="AQ44" s="121"/>
      <c r="AR44" s="121"/>
      <c r="AS44" s="121"/>
      <c r="AT44" s="121"/>
      <c r="AU44" s="121"/>
      <c r="AV44" s="121"/>
      <c r="AW44" s="121"/>
      <c r="AX44" s="74"/>
    </row>
    <row r="45" spans="1:50" ht="49.5" customHeight="1">
      <c r="A45" s="3"/>
      <c r="B45" s="346" t="s">
        <v>167</v>
      </c>
      <c r="C45" s="347"/>
      <c r="D45" s="347"/>
      <c r="E45" s="347"/>
      <c r="F45" s="347"/>
      <c r="G45" s="347"/>
      <c r="H45" s="347"/>
      <c r="I45" s="347"/>
      <c r="J45" s="347"/>
      <c r="K45" s="347"/>
      <c r="AB45" s="186">
        <f>MIN(AB44,AB37,AB48)</f>
        <v>0</v>
      </c>
      <c r="AC45" s="187" t="s">
        <v>108</v>
      </c>
      <c r="AF45" s="8">
        <v>5000001</v>
      </c>
      <c r="AG45" s="11">
        <v>5250000</v>
      </c>
      <c r="AH45" s="9">
        <f t="shared" si="0"/>
        <v>0</v>
      </c>
      <c r="AI45" s="10">
        <v>13750</v>
      </c>
      <c r="AK45" s="143"/>
      <c r="AL45" s="145"/>
      <c r="AM45" s="145"/>
      <c r="AN45" s="145" t="s">
        <v>109</v>
      </c>
      <c r="AO45" s="145">
        <v>2</v>
      </c>
      <c r="AP45" s="145"/>
      <c r="AQ45" s="121"/>
      <c r="AR45" s="121"/>
      <c r="AS45" s="121"/>
      <c r="AT45" s="121"/>
      <c r="AU45" s="121"/>
      <c r="AV45" s="121"/>
      <c r="AW45" s="121"/>
      <c r="AX45" s="74"/>
    </row>
    <row r="46" spans="1:50" ht="12.75">
      <c r="A46" s="3"/>
      <c r="L46" s="3"/>
      <c r="M46" s="3"/>
      <c r="N46" s="3"/>
      <c r="AB46" s="184">
        <f>AB45-AB43</f>
        <v>0</v>
      </c>
      <c r="AC46" s="185" t="s">
        <v>110</v>
      </c>
      <c r="AF46" s="8">
        <v>5250001</v>
      </c>
      <c r="AG46" s="11">
        <v>5500000</v>
      </c>
      <c r="AH46" s="9">
        <f t="shared" si="0"/>
        <v>0</v>
      </c>
      <c r="AI46" s="10">
        <v>14000</v>
      </c>
      <c r="AK46" s="143"/>
      <c r="AL46" s="145"/>
      <c r="AM46" s="145"/>
      <c r="AN46" s="145" t="s">
        <v>111</v>
      </c>
      <c r="AO46" s="145"/>
      <c r="AP46" s="145"/>
      <c r="AQ46" s="121"/>
      <c r="AR46" s="121"/>
      <c r="AS46" s="121"/>
      <c r="AT46" s="121"/>
      <c r="AU46" s="121"/>
      <c r="AV46" s="121"/>
      <c r="AW46" s="121"/>
      <c r="AX46" s="74"/>
    </row>
    <row r="47" spans="1:50" ht="12.75">
      <c r="A47" s="3"/>
      <c r="B47" s="3"/>
      <c r="C47" s="3"/>
      <c r="D47" s="3"/>
      <c r="E47" s="3"/>
      <c r="F47" s="3"/>
      <c r="G47" s="3"/>
      <c r="H47" s="3"/>
      <c r="I47" s="3"/>
      <c r="J47" s="3"/>
      <c r="K47" s="3"/>
      <c r="L47" s="3"/>
      <c r="M47" s="3"/>
      <c r="N47" s="3"/>
      <c r="AB47" s="188">
        <f>IF(AB35=1,AB43+AB46,AB43)</f>
        <v>0</v>
      </c>
      <c r="AC47" s="189" t="s">
        <v>112</v>
      </c>
      <c r="AF47" s="8">
        <v>5500001</v>
      </c>
      <c r="AG47" s="11">
        <v>5750000</v>
      </c>
      <c r="AH47" s="9">
        <f t="shared" si="0"/>
        <v>0</v>
      </c>
      <c r="AI47" s="10">
        <v>15000</v>
      </c>
      <c r="AK47" s="143"/>
      <c r="AL47" s="145"/>
      <c r="AM47" s="145"/>
      <c r="AN47" s="145"/>
      <c r="AO47" s="145"/>
      <c r="AP47" s="145"/>
      <c r="AQ47" s="121"/>
      <c r="AR47" s="121"/>
      <c r="AS47" s="121"/>
      <c r="AT47" s="121"/>
      <c r="AU47" s="121"/>
      <c r="AV47" s="121"/>
      <c r="AW47" s="121"/>
      <c r="AX47" s="74"/>
    </row>
    <row r="48" spans="1:50" ht="12.75">
      <c r="A48" s="3"/>
      <c r="B48" s="190"/>
      <c r="C48" s="191"/>
      <c r="D48" s="137"/>
      <c r="E48" s="137"/>
      <c r="F48" s="137"/>
      <c r="G48" s="137"/>
      <c r="H48" s="137"/>
      <c r="I48" s="137"/>
      <c r="J48" s="137"/>
      <c r="K48" s="137"/>
      <c r="L48" s="3"/>
      <c r="M48" s="3"/>
      <c r="N48" s="3"/>
      <c r="AB48" s="192">
        <f>C13</f>
        <v>2000000</v>
      </c>
      <c r="AC48" s="193" t="s">
        <v>113</v>
      </c>
      <c r="AF48" s="8">
        <v>5750001</v>
      </c>
      <c r="AG48" s="11">
        <v>6000000</v>
      </c>
      <c r="AH48" s="9">
        <f t="shared" si="0"/>
        <v>0</v>
      </c>
      <c r="AI48" s="10">
        <v>15500</v>
      </c>
      <c r="AK48" s="194"/>
      <c r="AL48" s="121"/>
      <c r="AM48" s="121"/>
      <c r="AN48" s="195"/>
      <c r="AO48" s="195"/>
      <c r="AP48" s="121"/>
      <c r="AQ48" s="121"/>
      <c r="AR48" s="121"/>
      <c r="AS48" s="121"/>
      <c r="AT48" s="121"/>
      <c r="AU48" s="121"/>
      <c r="AV48" s="121"/>
      <c r="AW48" s="121"/>
      <c r="AX48" s="74"/>
    </row>
    <row r="49" spans="1:50" ht="12.75">
      <c r="A49" s="3"/>
      <c r="B49" s="190"/>
      <c r="C49" s="137"/>
      <c r="D49" s="196"/>
      <c r="E49" s="197"/>
      <c r="F49" s="198"/>
      <c r="G49" s="198"/>
      <c r="H49" s="198"/>
      <c r="I49" s="282"/>
      <c r="J49" s="283"/>
      <c r="K49" s="137"/>
      <c r="L49" s="3"/>
      <c r="M49" s="3"/>
      <c r="N49" s="3"/>
      <c r="AF49" s="8">
        <v>6000001</v>
      </c>
      <c r="AG49" s="11">
        <v>50000000</v>
      </c>
      <c r="AH49" s="9">
        <f t="shared" si="0"/>
        <v>0</v>
      </c>
      <c r="AI49" s="10">
        <v>17500</v>
      </c>
      <c r="AK49" s="199"/>
      <c r="AL49" s="200"/>
      <c r="AM49" s="200"/>
      <c r="AN49" s="201"/>
      <c r="AO49" s="201"/>
      <c r="AP49" s="200"/>
      <c r="AQ49" s="200"/>
      <c r="AR49" s="200"/>
      <c r="AS49" s="200"/>
      <c r="AT49" s="200"/>
      <c r="AU49" s="200"/>
      <c r="AV49" s="200"/>
      <c r="AW49" s="200"/>
      <c r="AX49" s="99"/>
    </row>
    <row r="50" spans="1:35" ht="12.75">
      <c r="A50" s="3"/>
      <c r="B50" s="137"/>
      <c r="C50" s="137"/>
      <c r="D50" s="196"/>
      <c r="E50" s="197"/>
      <c r="F50" s="198"/>
      <c r="G50" s="198"/>
      <c r="H50" s="198"/>
      <c r="I50" s="284" t="s">
        <v>114</v>
      </c>
      <c r="J50" s="283"/>
      <c r="K50" s="137"/>
      <c r="L50" s="3"/>
      <c r="M50" s="3"/>
      <c r="N50" s="3"/>
      <c r="P50" s="202" t="s">
        <v>114</v>
      </c>
      <c r="AF50" s="13"/>
      <c r="AG50" s="14"/>
      <c r="AH50" s="15"/>
      <c r="AI50" s="16"/>
    </row>
    <row r="51" spans="1:35" ht="12.75">
      <c r="A51" s="3"/>
      <c r="B51" s="198"/>
      <c r="C51" s="203"/>
      <c r="D51" s="196"/>
      <c r="E51" s="197"/>
      <c r="F51" s="198"/>
      <c r="G51" s="198"/>
      <c r="H51" s="198"/>
      <c r="I51" s="285">
        <f>IF(BH30&gt;0,((1+I52)^12)-1,0)</f>
        <v>0.11775358232491961</v>
      </c>
      <c r="J51" s="283"/>
      <c r="K51" s="137"/>
      <c r="L51" s="3"/>
      <c r="M51" s="3"/>
      <c r="N51" s="3"/>
      <c r="P51" s="204">
        <f>IF(BH30&gt;0,((1+P52)^12)-1,0)</f>
        <v>0.11624034903107705</v>
      </c>
      <c r="AF51" s="13"/>
      <c r="AG51" s="14"/>
      <c r="AH51" s="15"/>
      <c r="AI51" s="16"/>
    </row>
    <row r="52" spans="1:16" ht="12.75">
      <c r="A52" s="121"/>
      <c r="B52" s="198"/>
      <c r="C52" s="198"/>
      <c r="D52" s="198"/>
      <c r="E52" s="198"/>
      <c r="F52" s="198"/>
      <c r="G52" s="198"/>
      <c r="H52" s="198"/>
      <c r="I52" s="286">
        <f>+IRR(I53:I536,0.0001)</f>
        <v>0.00931990745437683</v>
      </c>
      <c r="J52" s="287">
        <v>1</v>
      </c>
      <c r="K52" s="137"/>
      <c r="L52" s="3"/>
      <c r="M52" s="3"/>
      <c r="N52" s="3"/>
      <c r="P52" s="205">
        <f>+IRR(P53:P536,0.0001)</f>
        <v>0.009205967238040902</v>
      </c>
    </row>
    <row r="53" spans="1:29" ht="12.75">
      <c r="A53" s="3"/>
      <c r="B53" s="206">
        <f>C53+J53</f>
        <v>1200000.0000000005</v>
      </c>
      <c r="C53" s="207">
        <f>SUM(C56:C536)</f>
        <v>1200000.0000000005</v>
      </c>
      <c r="D53" s="207">
        <f>B143+D143</f>
        <v>838943.8994447087</v>
      </c>
      <c r="E53" s="207"/>
      <c r="F53" s="198"/>
      <c r="G53" s="198"/>
      <c r="H53" s="198"/>
      <c r="I53" s="288">
        <f>-C26+(AO55+AO56+AO57)</f>
        <v>-1195000</v>
      </c>
      <c r="J53" s="289">
        <f>SUM(J56:K536)</f>
        <v>0</v>
      </c>
      <c r="K53" s="137"/>
      <c r="L53" s="3"/>
      <c r="M53" s="137"/>
      <c r="N53" s="3"/>
      <c r="P53" s="208">
        <f>-C26+(AO55+AO56+AO57)</f>
        <v>-1195000</v>
      </c>
      <c r="AB53" s="209">
        <v>0.255</v>
      </c>
      <c r="AC53" s="53"/>
    </row>
    <row r="54" spans="1:42" ht="12.75">
      <c r="A54" s="348" t="s">
        <v>115</v>
      </c>
      <c r="B54" s="349"/>
      <c r="C54" s="349"/>
      <c r="D54" s="349"/>
      <c r="E54" s="349"/>
      <c r="F54" s="349"/>
      <c r="G54" s="349"/>
      <c r="H54" s="349"/>
      <c r="I54" s="349"/>
      <c r="J54" s="349"/>
      <c r="K54" s="349"/>
      <c r="L54" s="350"/>
      <c r="M54" s="210"/>
      <c r="N54" s="351" t="s">
        <v>116</v>
      </c>
      <c r="P54" s="202"/>
      <c r="AB54" s="114">
        <v>0.285</v>
      </c>
      <c r="AC54" s="211">
        <v>0.8</v>
      </c>
      <c r="AF54" s="212"/>
      <c r="AG54" s="213"/>
      <c r="AH54" s="213"/>
      <c r="AI54" s="213"/>
      <c r="AJ54" s="213"/>
      <c r="AK54" s="214"/>
      <c r="AL54" s="214"/>
      <c r="AM54" s="214"/>
      <c r="AN54" s="214"/>
      <c r="AO54" s="214"/>
      <c r="AP54" s="70"/>
    </row>
    <row r="55" spans="1:42" ht="27" customHeight="1">
      <c r="A55" s="215" t="s">
        <v>117</v>
      </c>
      <c r="B55" s="215" t="s">
        <v>118</v>
      </c>
      <c r="C55" s="215" t="s">
        <v>119</v>
      </c>
      <c r="D55" s="215" t="s">
        <v>120</v>
      </c>
      <c r="E55" s="215" t="s">
        <v>121</v>
      </c>
      <c r="F55" s="215" t="s">
        <v>122</v>
      </c>
      <c r="G55" s="216" t="s">
        <v>123</v>
      </c>
      <c r="H55" s="216" t="s">
        <v>124</v>
      </c>
      <c r="I55" s="216" t="s">
        <v>125</v>
      </c>
      <c r="J55" s="216" t="s">
        <v>126</v>
      </c>
      <c r="K55" s="216">
        <f>IF(AG58&lt;&gt;"","Aportaciones Garantizadas","")</f>
      </c>
      <c r="L55" s="216" t="s">
        <v>127</v>
      </c>
      <c r="M55" s="210" t="s">
        <v>128</v>
      </c>
      <c r="N55" s="352"/>
      <c r="AB55" s="217">
        <v>0</v>
      </c>
      <c r="AC55" s="57"/>
      <c r="AF55" s="194"/>
      <c r="AG55" s="121"/>
      <c r="AH55" s="121"/>
      <c r="AI55" s="121"/>
      <c r="AJ55" s="121"/>
      <c r="AK55" s="218"/>
      <c r="AL55" s="218"/>
      <c r="AM55" s="219" t="s">
        <v>129</v>
      </c>
      <c r="AN55" s="220"/>
      <c r="AO55" s="221">
        <f>+G25/(1+BH30)</f>
        <v>5000</v>
      </c>
      <c r="AP55" s="222"/>
    </row>
    <row r="56" spans="1:42" ht="19.5" customHeight="1">
      <c r="A56" s="223">
        <v>0</v>
      </c>
      <c r="B56" s="224">
        <f>C26</f>
        <v>1200000</v>
      </c>
      <c r="C56" s="224"/>
      <c r="D56" s="225"/>
      <c r="E56" s="224"/>
      <c r="F56" s="226"/>
      <c r="G56" s="226"/>
      <c r="H56" s="226"/>
      <c r="I56" s="224"/>
      <c r="J56" s="227"/>
      <c r="K56" s="228"/>
      <c r="L56" s="228"/>
      <c r="M56" s="229"/>
      <c r="N56" s="228"/>
      <c r="AB56" s="54"/>
      <c r="AC56" s="57"/>
      <c r="AF56" s="230" t="s">
        <v>130</v>
      </c>
      <c r="AG56" s="231" t="s">
        <v>158</v>
      </c>
      <c r="AH56" s="121"/>
      <c r="AI56" s="232"/>
      <c r="AJ56" s="121"/>
      <c r="AK56" s="218"/>
      <c r="AL56" s="218"/>
      <c r="AM56" s="218" t="s">
        <v>131</v>
      </c>
      <c r="AN56" s="233"/>
      <c r="AO56" s="234">
        <f>+G26</f>
        <v>0</v>
      </c>
      <c r="AP56" s="74"/>
    </row>
    <row r="57" spans="1:42" ht="12.75">
      <c r="A57" s="223">
        <v>1</v>
      </c>
      <c r="B57" s="224">
        <f>B56</f>
        <v>1200000</v>
      </c>
      <c r="C57" s="224">
        <f>E57-D57</f>
        <v>2978.639735648603</v>
      </c>
      <c r="D57" s="235">
        <f aca="true" t="shared" si="1" ref="D57:D120">IF(A57="","",(B57*($C$17))/12)</f>
        <v>9690</v>
      </c>
      <c r="E57" s="224">
        <f aca="true" t="shared" si="2" ref="E57:E120">IF(B57&lt;(IF(A57="","",IF($J$52=2,$G$12,PMT($C$17/12,$C$18-A56,-B57,0,0)))),B57+D57,IF(A57="","",IF($J$52=2,$G$12,PMT($C$17/12,$C$18-A56,-B57,0,0))))</f>
        <v>12668.639735648603</v>
      </c>
      <c r="F57" s="224">
        <f>G13</f>
        <v>306</v>
      </c>
      <c r="G57" s="224">
        <f>G14</f>
        <v>456</v>
      </c>
      <c r="H57" s="224">
        <f>G15</f>
        <v>290</v>
      </c>
      <c r="I57" s="224">
        <f aca="true" t="shared" si="3" ref="I57:I120">IF(A57="","",E57+F57+G57+H57)</f>
        <v>13720.639735648603</v>
      </c>
      <c r="J57" s="236"/>
      <c r="K57" s="237"/>
      <c r="L57" s="238">
        <f aca="true" t="shared" si="4" ref="L57:L120">IF(A57="","",B57-C57-J57-K57)</f>
        <v>1197021.3602643514</v>
      </c>
      <c r="M57" s="239">
        <f aca="true" t="shared" si="5" ref="M57:M120">IF(A57="","",G57+F57)</f>
        <v>762</v>
      </c>
      <c r="N57" s="240">
        <f>IF(A57="","",$C$17)</f>
        <v>0.0969</v>
      </c>
      <c r="O57" s="241">
        <f>G14/1.16</f>
        <v>393.1034482758621</v>
      </c>
      <c r="P57" s="85">
        <f>IF(A57="","",E57+F57+O57+H57/1.16)</f>
        <v>13617.743183924465</v>
      </c>
      <c r="AB57" s="172"/>
      <c r="AC57" s="131"/>
      <c r="AF57" s="230" t="s">
        <v>132</v>
      </c>
      <c r="AG57" s="231">
        <v>0</v>
      </c>
      <c r="AH57" s="121"/>
      <c r="AI57" s="242"/>
      <c r="AJ57" s="121"/>
      <c r="AK57" s="218"/>
      <c r="AL57" s="218" t="s">
        <v>133</v>
      </c>
      <c r="AM57" s="243">
        <f>AB21</f>
        <v>0.01</v>
      </c>
      <c r="AN57" s="218" t="s">
        <v>89</v>
      </c>
      <c r="AO57" s="244">
        <f>$G$28</f>
        <v>0</v>
      </c>
      <c r="AP57" s="245"/>
    </row>
    <row r="58" spans="1:42" ht="12.75">
      <c r="A58" s="223">
        <f aca="true" t="shared" si="6" ref="A58:A121">IF(A57="","",IF((B57-C57)&lt;0.01,"",A57+1))</f>
        <v>2</v>
      </c>
      <c r="B58" s="224">
        <f aca="true" t="shared" si="7" ref="B58:B121">IF(A58="","",(B57-C57-J57-K57))</f>
        <v>1197021.3602643514</v>
      </c>
      <c r="C58" s="224">
        <f aca="true" t="shared" si="8" ref="C58:C121">IF(A58="","",E58-D58)</f>
        <v>3002.6922515139704</v>
      </c>
      <c r="D58" s="235">
        <f t="shared" si="1"/>
        <v>9665.947484134636</v>
      </c>
      <c r="E58" s="224">
        <f t="shared" si="2"/>
        <v>12668.639735648607</v>
      </c>
      <c r="F58" s="224">
        <f aca="true" t="shared" si="9" ref="F58:F121">IF(A58="","",F57)</f>
        <v>306</v>
      </c>
      <c r="G58" s="224">
        <f aca="true" t="shared" si="10" ref="G58:G121">IF(A58="","",G57)</f>
        <v>456</v>
      </c>
      <c r="H58" s="224">
        <f aca="true" t="shared" si="11" ref="H58:H121">IF(A58="","",H57)</f>
        <v>290</v>
      </c>
      <c r="I58" s="224">
        <f t="shared" si="3"/>
        <v>13720.639735648607</v>
      </c>
      <c r="J58" s="236"/>
      <c r="K58" s="228"/>
      <c r="L58" s="238">
        <f t="shared" si="4"/>
        <v>1194018.6680128374</v>
      </c>
      <c r="M58" s="239">
        <f t="shared" si="5"/>
        <v>762</v>
      </c>
      <c r="N58" s="240">
        <f>IF(A58="","",$C$17)</f>
        <v>0.0969</v>
      </c>
      <c r="O58" s="85">
        <f>IF(A58="","",G57/1.16)</f>
        <v>393.1034482758621</v>
      </c>
      <c r="P58" s="85">
        <f aca="true" t="shared" si="12" ref="P58:P121">IF(A58="","",E58+F58+O58+H58/1.16)</f>
        <v>13617.74318392447</v>
      </c>
      <c r="AF58" s="230" t="s">
        <v>134</v>
      </c>
      <c r="AG58" s="231" t="s">
        <v>158</v>
      </c>
      <c r="AH58" s="121"/>
      <c r="AI58" s="232"/>
      <c r="AJ58" s="121"/>
      <c r="AK58" s="218"/>
      <c r="AL58" s="121"/>
      <c r="AM58" s="218"/>
      <c r="AN58" s="233"/>
      <c r="AO58" s="234">
        <f>+G24</f>
        <v>0</v>
      </c>
      <c r="AP58" s="74"/>
    </row>
    <row r="59" spans="1:42" ht="12.75">
      <c r="A59" s="223">
        <f t="shared" si="6"/>
        <v>3</v>
      </c>
      <c r="B59" s="224">
        <f t="shared" si="7"/>
        <v>1194018.6680128374</v>
      </c>
      <c r="C59" s="224">
        <f t="shared" si="8"/>
        <v>3026.9389914449457</v>
      </c>
      <c r="D59" s="235">
        <f t="shared" si="1"/>
        <v>9641.700744203661</v>
      </c>
      <c r="E59" s="224">
        <f t="shared" si="2"/>
        <v>12668.639735648607</v>
      </c>
      <c r="F59" s="224">
        <f t="shared" si="9"/>
        <v>306</v>
      </c>
      <c r="G59" s="224">
        <f t="shared" si="10"/>
        <v>456</v>
      </c>
      <c r="H59" s="224">
        <f t="shared" si="11"/>
        <v>290</v>
      </c>
      <c r="I59" s="224">
        <f t="shared" si="3"/>
        <v>13720.639735648607</v>
      </c>
      <c r="J59" s="236"/>
      <c r="K59" s="228"/>
      <c r="L59" s="238">
        <f t="shared" si="4"/>
        <v>1190991.7290213925</v>
      </c>
      <c r="M59" s="239">
        <f t="shared" si="5"/>
        <v>762</v>
      </c>
      <c r="N59" s="240">
        <f aca="true" t="shared" si="13" ref="N59:N122">IF(A59="","",$C$17)</f>
        <v>0.0969</v>
      </c>
      <c r="O59" s="85">
        <f aca="true" t="shared" si="14" ref="O59:O122">IF(A59="","",G58/1.16)</f>
        <v>393.1034482758621</v>
      </c>
      <c r="P59" s="85">
        <f t="shared" si="12"/>
        <v>13617.74318392447</v>
      </c>
      <c r="AF59" s="230" t="s">
        <v>135</v>
      </c>
      <c r="AG59" s="231" t="s">
        <v>158</v>
      </c>
      <c r="AH59" s="121"/>
      <c r="AI59" s="232"/>
      <c r="AJ59" s="121"/>
      <c r="AK59" s="218"/>
      <c r="AL59" s="218"/>
      <c r="AM59" s="218" t="s">
        <v>136</v>
      </c>
      <c r="AN59" s="246">
        <f>G15</f>
        <v>290</v>
      </c>
      <c r="AO59" s="218"/>
      <c r="AP59" s="74"/>
    </row>
    <row r="60" spans="1:42" ht="12.75">
      <c r="A60" s="223">
        <f t="shared" si="6"/>
        <v>4</v>
      </c>
      <c r="B60" s="224">
        <f t="shared" si="7"/>
        <v>1190991.7290213925</v>
      </c>
      <c r="C60" s="224">
        <f t="shared" si="8"/>
        <v>3051.381523800861</v>
      </c>
      <c r="D60" s="235">
        <f t="shared" si="1"/>
        <v>9617.258211847746</v>
      </c>
      <c r="E60" s="224">
        <f t="shared" si="2"/>
        <v>12668.639735648607</v>
      </c>
      <c r="F60" s="224">
        <f t="shared" si="9"/>
        <v>306</v>
      </c>
      <c r="G60" s="224">
        <f t="shared" si="10"/>
        <v>456</v>
      </c>
      <c r="H60" s="224">
        <f t="shared" si="11"/>
        <v>290</v>
      </c>
      <c r="I60" s="224">
        <f t="shared" si="3"/>
        <v>13720.639735648607</v>
      </c>
      <c r="J60" s="236"/>
      <c r="K60" s="228"/>
      <c r="L60" s="238">
        <f t="shared" si="4"/>
        <v>1187940.3474975917</v>
      </c>
      <c r="M60" s="239">
        <f t="shared" si="5"/>
        <v>762</v>
      </c>
      <c r="N60" s="240">
        <f t="shared" si="13"/>
        <v>0.0969</v>
      </c>
      <c r="O60" s="85">
        <f t="shared" si="14"/>
        <v>393.1034482758621</v>
      </c>
      <c r="P60" s="85">
        <f t="shared" si="12"/>
        <v>13617.74318392447</v>
      </c>
      <c r="AF60" s="230" t="s">
        <v>137</v>
      </c>
      <c r="AG60" s="247" t="e">
        <v>#VALUE!</v>
      </c>
      <c r="AH60" s="121"/>
      <c r="AI60" s="232"/>
      <c r="AJ60" s="121"/>
      <c r="AK60" s="248"/>
      <c r="AL60" s="121"/>
      <c r="AM60" s="121"/>
      <c r="AN60" s="121"/>
      <c r="AO60" s="121"/>
      <c r="AP60" s="74"/>
    </row>
    <row r="61" spans="1:42" ht="12.75">
      <c r="A61" s="223">
        <f t="shared" si="6"/>
        <v>5</v>
      </c>
      <c r="B61" s="224">
        <f t="shared" si="7"/>
        <v>1187940.3474975917</v>
      </c>
      <c r="C61" s="224">
        <f t="shared" si="8"/>
        <v>3076.021429605553</v>
      </c>
      <c r="D61" s="235">
        <f t="shared" si="1"/>
        <v>9592.618306043054</v>
      </c>
      <c r="E61" s="224">
        <f t="shared" si="2"/>
        <v>12668.639735648607</v>
      </c>
      <c r="F61" s="224">
        <f t="shared" si="9"/>
        <v>306</v>
      </c>
      <c r="G61" s="224">
        <f t="shared" si="10"/>
        <v>456</v>
      </c>
      <c r="H61" s="224">
        <f t="shared" si="11"/>
        <v>290</v>
      </c>
      <c r="I61" s="224">
        <f t="shared" si="3"/>
        <v>13720.639735648607</v>
      </c>
      <c r="J61" s="236"/>
      <c r="K61" s="228"/>
      <c r="L61" s="238">
        <f t="shared" si="4"/>
        <v>1184864.3260679862</v>
      </c>
      <c r="M61" s="239">
        <f t="shared" si="5"/>
        <v>762</v>
      </c>
      <c r="N61" s="240">
        <f t="shared" si="13"/>
        <v>0.0969</v>
      </c>
      <c r="O61" s="85">
        <f t="shared" si="14"/>
        <v>393.1034482758621</v>
      </c>
      <c r="P61" s="85">
        <f t="shared" si="12"/>
        <v>13617.74318392447</v>
      </c>
      <c r="AF61" s="194"/>
      <c r="AG61" s="121"/>
      <c r="AH61" s="121"/>
      <c r="AI61" s="232"/>
      <c r="AJ61" s="121"/>
      <c r="AK61" s="121"/>
      <c r="AL61" s="121"/>
      <c r="AM61" s="121"/>
      <c r="AN61" s="121"/>
      <c r="AO61" s="121"/>
      <c r="AP61" s="74"/>
    </row>
    <row r="62" spans="1:42" ht="12.75">
      <c r="A62" s="223">
        <f t="shared" si="6"/>
        <v>6</v>
      </c>
      <c r="B62" s="224">
        <f t="shared" si="7"/>
        <v>1184864.3260679862</v>
      </c>
      <c r="C62" s="224">
        <f t="shared" si="8"/>
        <v>3100.8603026496203</v>
      </c>
      <c r="D62" s="235">
        <f t="shared" si="1"/>
        <v>9567.779432998988</v>
      </c>
      <c r="E62" s="224">
        <f t="shared" si="2"/>
        <v>12668.639735648609</v>
      </c>
      <c r="F62" s="224">
        <f t="shared" si="9"/>
        <v>306</v>
      </c>
      <c r="G62" s="224">
        <f t="shared" si="10"/>
        <v>456</v>
      </c>
      <c r="H62" s="224">
        <f t="shared" si="11"/>
        <v>290</v>
      </c>
      <c r="I62" s="224">
        <f t="shared" si="3"/>
        <v>13720.639735648609</v>
      </c>
      <c r="J62" s="236"/>
      <c r="K62" s="228"/>
      <c r="L62" s="238">
        <f t="shared" si="4"/>
        <v>1181763.4657653365</v>
      </c>
      <c r="M62" s="239">
        <f t="shared" si="5"/>
        <v>762</v>
      </c>
      <c r="N62" s="240">
        <f t="shared" si="13"/>
        <v>0.0969</v>
      </c>
      <c r="O62" s="85">
        <f t="shared" si="14"/>
        <v>393.1034482758621</v>
      </c>
      <c r="P62" s="85">
        <f t="shared" si="12"/>
        <v>13617.743183924471</v>
      </c>
      <c r="AF62" s="199"/>
      <c r="AG62" s="200"/>
      <c r="AH62" s="200"/>
      <c r="AI62" s="249"/>
      <c r="AJ62" s="200"/>
      <c r="AK62" s="200"/>
      <c r="AL62" s="200"/>
      <c r="AM62" s="200"/>
      <c r="AN62" s="250"/>
      <c r="AO62" s="251"/>
      <c r="AP62" s="99"/>
    </row>
    <row r="63" spans="1:16" ht="12.75">
      <c r="A63" s="223">
        <f t="shared" si="6"/>
        <v>7</v>
      </c>
      <c r="B63" s="224">
        <f t="shared" si="7"/>
        <v>1181763.4657653365</v>
      </c>
      <c r="C63" s="224">
        <f t="shared" si="8"/>
        <v>3125.8997495935146</v>
      </c>
      <c r="D63" s="235">
        <f t="shared" si="1"/>
        <v>9542.739986055092</v>
      </c>
      <c r="E63" s="224">
        <f t="shared" si="2"/>
        <v>12668.639735648607</v>
      </c>
      <c r="F63" s="224">
        <f t="shared" si="9"/>
        <v>306</v>
      </c>
      <c r="G63" s="224">
        <f t="shared" si="10"/>
        <v>456</v>
      </c>
      <c r="H63" s="224">
        <f t="shared" si="11"/>
        <v>290</v>
      </c>
      <c r="I63" s="224">
        <f t="shared" si="3"/>
        <v>13720.639735648607</v>
      </c>
      <c r="J63" s="236"/>
      <c r="K63" s="228"/>
      <c r="L63" s="238">
        <f t="shared" si="4"/>
        <v>1178637.566015743</v>
      </c>
      <c r="M63" s="239">
        <f t="shared" si="5"/>
        <v>762</v>
      </c>
      <c r="N63" s="240">
        <f t="shared" si="13"/>
        <v>0.0969</v>
      </c>
      <c r="O63" s="85">
        <f t="shared" si="14"/>
        <v>393.1034482758621</v>
      </c>
      <c r="P63" s="85">
        <f t="shared" si="12"/>
        <v>13617.74318392447</v>
      </c>
    </row>
    <row r="64" spans="1:16" ht="12.75">
      <c r="A64" s="223">
        <f t="shared" si="6"/>
        <v>8</v>
      </c>
      <c r="B64" s="224">
        <f t="shared" si="7"/>
        <v>1178637.566015743</v>
      </c>
      <c r="C64" s="224">
        <f t="shared" si="8"/>
        <v>3151.1413900714833</v>
      </c>
      <c r="D64" s="235">
        <f t="shared" si="1"/>
        <v>9517.498345577123</v>
      </c>
      <c r="E64" s="224">
        <f t="shared" si="2"/>
        <v>12668.639735648607</v>
      </c>
      <c r="F64" s="224">
        <f t="shared" si="9"/>
        <v>306</v>
      </c>
      <c r="G64" s="224">
        <f t="shared" si="10"/>
        <v>456</v>
      </c>
      <c r="H64" s="224">
        <f t="shared" si="11"/>
        <v>290</v>
      </c>
      <c r="I64" s="224">
        <f t="shared" si="3"/>
        <v>13720.639735648607</v>
      </c>
      <c r="J64" s="236"/>
      <c r="K64" s="228"/>
      <c r="L64" s="238">
        <f t="shared" si="4"/>
        <v>1175486.4246256715</v>
      </c>
      <c r="M64" s="239">
        <f t="shared" si="5"/>
        <v>762</v>
      </c>
      <c r="N64" s="240">
        <f t="shared" si="13"/>
        <v>0.0969</v>
      </c>
      <c r="O64" s="85">
        <f t="shared" si="14"/>
        <v>393.1034482758621</v>
      </c>
      <c r="P64" s="85">
        <f t="shared" si="12"/>
        <v>13617.74318392447</v>
      </c>
    </row>
    <row r="65" spans="1:16" ht="12.75">
      <c r="A65" s="223">
        <f t="shared" si="6"/>
        <v>9</v>
      </c>
      <c r="B65" s="224">
        <f t="shared" si="7"/>
        <v>1175486.4246256715</v>
      </c>
      <c r="C65" s="224">
        <f t="shared" si="8"/>
        <v>3176.58685679631</v>
      </c>
      <c r="D65" s="235">
        <f t="shared" si="1"/>
        <v>9492.052878852297</v>
      </c>
      <c r="E65" s="224">
        <f t="shared" si="2"/>
        <v>12668.639735648607</v>
      </c>
      <c r="F65" s="224">
        <f t="shared" si="9"/>
        <v>306</v>
      </c>
      <c r="G65" s="224">
        <f t="shared" si="10"/>
        <v>456</v>
      </c>
      <c r="H65" s="224">
        <f t="shared" si="11"/>
        <v>290</v>
      </c>
      <c r="I65" s="224">
        <f t="shared" si="3"/>
        <v>13720.639735648607</v>
      </c>
      <c r="J65" s="236"/>
      <c r="K65" s="228"/>
      <c r="L65" s="238">
        <f t="shared" si="4"/>
        <v>1172309.837768875</v>
      </c>
      <c r="M65" s="239">
        <f t="shared" si="5"/>
        <v>762</v>
      </c>
      <c r="N65" s="240">
        <f t="shared" si="13"/>
        <v>0.0969</v>
      </c>
      <c r="O65" s="85">
        <f t="shared" si="14"/>
        <v>393.1034482758621</v>
      </c>
      <c r="P65" s="85">
        <f t="shared" si="12"/>
        <v>13617.74318392447</v>
      </c>
    </row>
    <row r="66" spans="1:16" ht="12.75">
      <c r="A66" s="223">
        <f t="shared" si="6"/>
        <v>10</v>
      </c>
      <c r="B66" s="224">
        <f t="shared" si="7"/>
        <v>1172309.837768875</v>
      </c>
      <c r="C66" s="224">
        <f t="shared" si="8"/>
        <v>3202.2377956649398</v>
      </c>
      <c r="D66" s="235">
        <f t="shared" si="1"/>
        <v>9466.401939983667</v>
      </c>
      <c r="E66" s="224">
        <f t="shared" si="2"/>
        <v>12668.639735648607</v>
      </c>
      <c r="F66" s="224">
        <f t="shared" si="9"/>
        <v>306</v>
      </c>
      <c r="G66" s="224">
        <f t="shared" si="10"/>
        <v>456</v>
      </c>
      <c r="H66" s="224">
        <f t="shared" si="11"/>
        <v>290</v>
      </c>
      <c r="I66" s="224">
        <f t="shared" si="3"/>
        <v>13720.639735648607</v>
      </c>
      <c r="J66" s="236"/>
      <c r="K66" s="228"/>
      <c r="L66" s="238">
        <f t="shared" si="4"/>
        <v>1169107.5999732101</v>
      </c>
      <c r="M66" s="239">
        <f t="shared" si="5"/>
        <v>762</v>
      </c>
      <c r="N66" s="240">
        <f t="shared" si="13"/>
        <v>0.0969</v>
      </c>
      <c r="O66" s="85">
        <f t="shared" si="14"/>
        <v>393.1034482758621</v>
      </c>
      <c r="P66" s="85">
        <f t="shared" si="12"/>
        <v>13617.74318392447</v>
      </c>
    </row>
    <row r="67" spans="1:16" ht="12.75">
      <c r="A67" s="223">
        <f t="shared" si="6"/>
        <v>11</v>
      </c>
      <c r="B67" s="224">
        <f t="shared" si="7"/>
        <v>1169107.5999732101</v>
      </c>
      <c r="C67" s="224">
        <f t="shared" si="8"/>
        <v>3228.0958658649324</v>
      </c>
      <c r="D67" s="235">
        <f t="shared" si="1"/>
        <v>9440.54386978367</v>
      </c>
      <c r="E67" s="224">
        <f t="shared" si="2"/>
        <v>12668.639735648603</v>
      </c>
      <c r="F67" s="224">
        <f t="shared" si="9"/>
        <v>306</v>
      </c>
      <c r="G67" s="224">
        <f t="shared" si="10"/>
        <v>456</v>
      </c>
      <c r="H67" s="224">
        <f t="shared" si="11"/>
        <v>290</v>
      </c>
      <c r="I67" s="224">
        <f t="shared" si="3"/>
        <v>13720.639735648603</v>
      </c>
      <c r="J67" s="236"/>
      <c r="K67" s="228"/>
      <c r="L67" s="238">
        <f t="shared" si="4"/>
        <v>1165879.5041073451</v>
      </c>
      <c r="M67" s="239">
        <f t="shared" si="5"/>
        <v>762</v>
      </c>
      <c r="N67" s="240">
        <f t="shared" si="13"/>
        <v>0.0969</v>
      </c>
      <c r="O67" s="85">
        <f t="shared" si="14"/>
        <v>393.1034482758621</v>
      </c>
      <c r="P67" s="85">
        <f t="shared" si="12"/>
        <v>13617.743183924465</v>
      </c>
    </row>
    <row r="68" spans="1:16" ht="12.75">
      <c r="A68" s="223">
        <f t="shared" si="6"/>
        <v>12</v>
      </c>
      <c r="B68" s="224">
        <f t="shared" si="7"/>
        <v>1165879.5041073451</v>
      </c>
      <c r="C68" s="224">
        <f t="shared" si="8"/>
        <v>3254.16273998179</v>
      </c>
      <c r="D68" s="235">
        <f t="shared" si="1"/>
        <v>9414.476995666811</v>
      </c>
      <c r="E68" s="224">
        <f t="shared" si="2"/>
        <v>12668.639735648601</v>
      </c>
      <c r="F68" s="224">
        <f t="shared" si="9"/>
        <v>306</v>
      </c>
      <c r="G68" s="224">
        <f t="shared" si="10"/>
        <v>456</v>
      </c>
      <c r="H68" s="224">
        <f t="shared" si="11"/>
        <v>290</v>
      </c>
      <c r="I68" s="224">
        <f t="shared" si="3"/>
        <v>13720.639735648601</v>
      </c>
      <c r="J68" s="236"/>
      <c r="K68" s="237"/>
      <c r="L68" s="238">
        <f t="shared" si="4"/>
        <v>1162625.3413673632</v>
      </c>
      <c r="M68" s="239">
        <f t="shared" si="5"/>
        <v>762</v>
      </c>
      <c r="N68" s="240">
        <f t="shared" si="13"/>
        <v>0.0969</v>
      </c>
      <c r="O68" s="85">
        <f t="shared" si="14"/>
        <v>393.1034482758621</v>
      </c>
      <c r="P68" s="85">
        <f t="shared" si="12"/>
        <v>13617.743183924464</v>
      </c>
    </row>
    <row r="69" spans="1:16" ht="12.75">
      <c r="A69" s="223">
        <f t="shared" si="6"/>
        <v>13</v>
      </c>
      <c r="B69" s="224">
        <f t="shared" si="7"/>
        <v>1162625.3413673632</v>
      </c>
      <c r="C69" s="224">
        <f t="shared" si="8"/>
        <v>3280.440104107145</v>
      </c>
      <c r="D69" s="235">
        <f t="shared" si="1"/>
        <v>9388.199631541458</v>
      </c>
      <c r="E69" s="224">
        <f t="shared" si="2"/>
        <v>12668.639735648603</v>
      </c>
      <c r="F69" s="224">
        <f t="shared" si="9"/>
        <v>306</v>
      </c>
      <c r="G69" s="224">
        <f t="shared" si="10"/>
        <v>456</v>
      </c>
      <c r="H69" s="224">
        <f t="shared" si="11"/>
        <v>290</v>
      </c>
      <c r="I69" s="224">
        <f t="shared" si="3"/>
        <v>13720.639735648603</v>
      </c>
      <c r="J69" s="236"/>
      <c r="K69" s="237"/>
      <c r="L69" s="238">
        <f t="shared" si="4"/>
        <v>1159344.901263256</v>
      </c>
      <c r="M69" s="239">
        <f t="shared" si="5"/>
        <v>762</v>
      </c>
      <c r="N69" s="240">
        <f t="shared" si="13"/>
        <v>0.0969</v>
      </c>
      <c r="O69" s="85">
        <f t="shared" si="14"/>
        <v>393.1034482758621</v>
      </c>
      <c r="P69" s="85">
        <f t="shared" si="12"/>
        <v>13617.743183924465</v>
      </c>
    </row>
    <row r="70" spans="1:16" ht="12.75">
      <c r="A70" s="223">
        <f t="shared" si="6"/>
        <v>14</v>
      </c>
      <c r="B70" s="224">
        <f t="shared" si="7"/>
        <v>1159344.901263256</v>
      </c>
      <c r="C70" s="224">
        <f t="shared" si="8"/>
        <v>3306.9296579478105</v>
      </c>
      <c r="D70" s="235">
        <f t="shared" si="1"/>
        <v>9361.710077700793</v>
      </c>
      <c r="E70" s="224">
        <f t="shared" si="2"/>
        <v>12668.639735648603</v>
      </c>
      <c r="F70" s="224">
        <f t="shared" si="9"/>
        <v>306</v>
      </c>
      <c r="G70" s="224">
        <f t="shared" si="10"/>
        <v>456</v>
      </c>
      <c r="H70" s="224">
        <f t="shared" si="11"/>
        <v>290</v>
      </c>
      <c r="I70" s="224">
        <f t="shared" si="3"/>
        <v>13720.639735648603</v>
      </c>
      <c r="J70" s="236"/>
      <c r="K70" s="228"/>
      <c r="L70" s="238">
        <f t="shared" si="4"/>
        <v>1156037.9716053084</v>
      </c>
      <c r="M70" s="239">
        <f t="shared" si="5"/>
        <v>762</v>
      </c>
      <c r="N70" s="240">
        <f t="shared" si="13"/>
        <v>0.0969</v>
      </c>
      <c r="O70" s="85">
        <f t="shared" si="14"/>
        <v>393.1034482758621</v>
      </c>
      <c r="P70" s="85">
        <f t="shared" si="12"/>
        <v>13617.743183924465</v>
      </c>
    </row>
    <row r="71" spans="1:16" ht="12.75">
      <c r="A71" s="223">
        <f t="shared" si="6"/>
        <v>15</v>
      </c>
      <c r="B71" s="224">
        <f t="shared" si="7"/>
        <v>1156037.9716053084</v>
      </c>
      <c r="C71" s="224">
        <f t="shared" si="8"/>
        <v>3333.6331149357375</v>
      </c>
      <c r="D71" s="235">
        <f t="shared" si="1"/>
        <v>9335.006620712864</v>
      </c>
      <c r="E71" s="224">
        <f t="shared" si="2"/>
        <v>12668.639735648601</v>
      </c>
      <c r="F71" s="224">
        <f t="shared" si="9"/>
        <v>306</v>
      </c>
      <c r="G71" s="224">
        <f t="shared" si="10"/>
        <v>456</v>
      </c>
      <c r="H71" s="224">
        <f t="shared" si="11"/>
        <v>290</v>
      </c>
      <c r="I71" s="224">
        <f t="shared" si="3"/>
        <v>13720.639735648601</v>
      </c>
      <c r="J71" s="236"/>
      <c r="K71" s="228"/>
      <c r="L71" s="238">
        <f t="shared" si="4"/>
        <v>1152704.3384903725</v>
      </c>
      <c r="M71" s="239">
        <f t="shared" si="5"/>
        <v>762</v>
      </c>
      <c r="N71" s="240">
        <f t="shared" si="13"/>
        <v>0.0969</v>
      </c>
      <c r="O71" s="85">
        <f t="shared" si="14"/>
        <v>393.1034482758621</v>
      </c>
      <c r="P71" s="85">
        <f t="shared" si="12"/>
        <v>13617.743183924464</v>
      </c>
    </row>
    <row r="72" spans="1:16" ht="12.75">
      <c r="A72" s="223">
        <f t="shared" si="6"/>
        <v>16</v>
      </c>
      <c r="B72" s="224">
        <f t="shared" si="7"/>
        <v>1152704.3384903725</v>
      </c>
      <c r="C72" s="224">
        <f t="shared" si="8"/>
        <v>3360.552202338842</v>
      </c>
      <c r="D72" s="235">
        <f t="shared" si="1"/>
        <v>9308.08753330976</v>
      </c>
      <c r="E72" s="224">
        <f t="shared" si="2"/>
        <v>12668.639735648601</v>
      </c>
      <c r="F72" s="224">
        <f t="shared" si="9"/>
        <v>306</v>
      </c>
      <c r="G72" s="224">
        <f t="shared" si="10"/>
        <v>456</v>
      </c>
      <c r="H72" s="224">
        <f t="shared" si="11"/>
        <v>290</v>
      </c>
      <c r="I72" s="224">
        <f t="shared" si="3"/>
        <v>13720.639735648601</v>
      </c>
      <c r="J72" s="236"/>
      <c r="K72" s="228"/>
      <c r="L72" s="238">
        <f t="shared" si="4"/>
        <v>1149343.7862880337</v>
      </c>
      <c r="M72" s="239">
        <f t="shared" si="5"/>
        <v>762</v>
      </c>
      <c r="N72" s="240">
        <f t="shared" si="13"/>
        <v>0.0969</v>
      </c>
      <c r="O72" s="85">
        <f t="shared" si="14"/>
        <v>393.1034482758621</v>
      </c>
      <c r="P72" s="85">
        <f t="shared" si="12"/>
        <v>13617.743183924464</v>
      </c>
    </row>
    <row r="73" spans="1:16" ht="12.75">
      <c r="A73" s="223">
        <f t="shared" si="6"/>
        <v>17</v>
      </c>
      <c r="B73" s="224">
        <f t="shared" si="7"/>
        <v>1149343.7862880337</v>
      </c>
      <c r="C73" s="224">
        <f t="shared" si="8"/>
        <v>3387.6886613727293</v>
      </c>
      <c r="D73" s="235">
        <f t="shared" si="1"/>
        <v>9280.951074275872</v>
      </c>
      <c r="E73" s="224">
        <f t="shared" si="2"/>
        <v>12668.639735648601</v>
      </c>
      <c r="F73" s="224">
        <f t="shared" si="9"/>
        <v>306</v>
      </c>
      <c r="G73" s="224">
        <f t="shared" si="10"/>
        <v>456</v>
      </c>
      <c r="H73" s="224">
        <f t="shared" si="11"/>
        <v>290</v>
      </c>
      <c r="I73" s="224">
        <f t="shared" si="3"/>
        <v>13720.639735648601</v>
      </c>
      <c r="J73" s="236"/>
      <c r="K73" s="228"/>
      <c r="L73" s="238">
        <f t="shared" si="4"/>
        <v>1145956.097626661</v>
      </c>
      <c r="M73" s="239">
        <f t="shared" si="5"/>
        <v>762</v>
      </c>
      <c r="N73" s="240">
        <f t="shared" si="13"/>
        <v>0.0969</v>
      </c>
      <c r="O73" s="85">
        <f t="shared" si="14"/>
        <v>393.1034482758621</v>
      </c>
      <c r="P73" s="85">
        <f t="shared" si="12"/>
        <v>13617.743183924464</v>
      </c>
    </row>
    <row r="74" spans="1:16" ht="12.75">
      <c r="A74" s="223">
        <f t="shared" si="6"/>
        <v>18</v>
      </c>
      <c r="B74" s="224">
        <f t="shared" si="7"/>
        <v>1145956.097626661</v>
      </c>
      <c r="C74" s="224">
        <f t="shared" si="8"/>
        <v>3415.0442473133135</v>
      </c>
      <c r="D74" s="235">
        <f t="shared" si="1"/>
        <v>9253.595488335288</v>
      </c>
      <c r="E74" s="224">
        <f t="shared" si="2"/>
        <v>12668.639735648601</v>
      </c>
      <c r="F74" s="224">
        <f t="shared" si="9"/>
        <v>306</v>
      </c>
      <c r="G74" s="224">
        <f t="shared" si="10"/>
        <v>456</v>
      </c>
      <c r="H74" s="224">
        <f t="shared" si="11"/>
        <v>290</v>
      </c>
      <c r="I74" s="224">
        <f t="shared" si="3"/>
        <v>13720.639735648601</v>
      </c>
      <c r="J74" s="236"/>
      <c r="K74" s="228"/>
      <c r="L74" s="238">
        <f t="shared" si="4"/>
        <v>1142541.0533793475</v>
      </c>
      <c r="M74" s="239">
        <f t="shared" si="5"/>
        <v>762</v>
      </c>
      <c r="N74" s="240">
        <f t="shared" si="13"/>
        <v>0.0969</v>
      </c>
      <c r="O74" s="85">
        <f t="shared" si="14"/>
        <v>393.1034482758621</v>
      </c>
      <c r="P74" s="85">
        <f t="shared" si="12"/>
        <v>13617.743183924464</v>
      </c>
    </row>
    <row r="75" spans="1:16" ht="12.75">
      <c r="A75" s="223">
        <f t="shared" si="6"/>
        <v>19</v>
      </c>
      <c r="B75" s="224">
        <f t="shared" si="7"/>
        <v>1142541.0533793475</v>
      </c>
      <c r="C75" s="224">
        <f t="shared" si="8"/>
        <v>3442.6207296103694</v>
      </c>
      <c r="D75" s="235">
        <f t="shared" si="1"/>
        <v>9226.019006038232</v>
      </c>
      <c r="E75" s="224">
        <f t="shared" si="2"/>
        <v>12668.639735648601</v>
      </c>
      <c r="F75" s="224">
        <f t="shared" si="9"/>
        <v>306</v>
      </c>
      <c r="G75" s="224">
        <f t="shared" si="10"/>
        <v>456</v>
      </c>
      <c r="H75" s="224">
        <f t="shared" si="11"/>
        <v>290</v>
      </c>
      <c r="I75" s="224">
        <f t="shared" si="3"/>
        <v>13720.639735648601</v>
      </c>
      <c r="J75" s="236"/>
      <c r="K75" s="228"/>
      <c r="L75" s="238">
        <f t="shared" si="4"/>
        <v>1139098.4326497372</v>
      </c>
      <c r="M75" s="239">
        <f t="shared" si="5"/>
        <v>762</v>
      </c>
      <c r="N75" s="240">
        <f t="shared" si="13"/>
        <v>0.0969</v>
      </c>
      <c r="O75" s="85">
        <f t="shared" si="14"/>
        <v>393.1034482758621</v>
      </c>
      <c r="P75" s="85">
        <f t="shared" si="12"/>
        <v>13617.743183924464</v>
      </c>
    </row>
    <row r="76" spans="1:16" ht="12.75">
      <c r="A76" s="223">
        <f t="shared" si="6"/>
        <v>20</v>
      </c>
      <c r="B76" s="224">
        <f t="shared" si="7"/>
        <v>1139098.4326497372</v>
      </c>
      <c r="C76" s="224">
        <f t="shared" si="8"/>
        <v>3470.4198920019735</v>
      </c>
      <c r="D76" s="235">
        <f t="shared" si="1"/>
        <v>9198.219843646628</v>
      </c>
      <c r="E76" s="224">
        <f t="shared" si="2"/>
        <v>12668.639735648601</v>
      </c>
      <c r="F76" s="224">
        <f t="shared" si="9"/>
        <v>306</v>
      </c>
      <c r="G76" s="224">
        <f t="shared" si="10"/>
        <v>456</v>
      </c>
      <c r="H76" s="224">
        <f t="shared" si="11"/>
        <v>290</v>
      </c>
      <c r="I76" s="224">
        <f t="shared" si="3"/>
        <v>13720.639735648601</v>
      </c>
      <c r="J76" s="236"/>
      <c r="K76" s="228"/>
      <c r="L76" s="238">
        <f t="shared" si="4"/>
        <v>1135628.0127577353</v>
      </c>
      <c r="M76" s="239">
        <f t="shared" si="5"/>
        <v>762</v>
      </c>
      <c r="N76" s="240">
        <f t="shared" si="13"/>
        <v>0.0969</v>
      </c>
      <c r="O76" s="85">
        <f t="shared" si="14"/>
        <v>393.1034482758621</v>
      </c>
      <c r="P76" s="85">
        <f t="shared" si="12"/>
        <v>13617.743183924464</v>
      </c>
    </row>
    <row r="77" spans="1:16" ht="12.75">
      <c r="A77" s="223">
        <f t="shared" si="6"/>
        <v>21</v>
      </c>
      <c r="B77" s="224">
        <f t="shared" si="7"/>
        <v>1135628.0127577353</v>
      </c>
      <c r="C77" s="224">
        <f t="shared" si="8"/>
        <v>3498.443532629888</v>
      </c>
      <c r="D77" s="235">
        <f t="shared" si="1"/>
        <v>9170.196203018713</v>
      </c>
      <c r="E77" s="224">
        <f t="shared" si="2"/>
        <v>12668.639735648601</v>
      </c>
      <c r="F77" s="224">
        <f t="shared" si="9"/>
        <v>306</v>
      </c>
      <c r="G77" s="224">
        <f t="shared" si="10"/>
        <v>456</v>
      </c>
      <c r="H77" s="224">
        <f t="shared" si="11"/>
        <v>290</v>
      </c>
      <c r="I77" s="224">
        <f t="shared" si="3"/>
        <v>13720.639735648601</v>
      </c>
      <c r="J77" s="236"/>
      <c r="K77" s="228"/>
      <c r="L77" s="238">
        <f t="shared" si="4"/>
        <v>1132129.5692251055</v>
      </c>
      <c r="M77" s="239">
        <f t="shared" si="5"/>
        <v>762</v>
      </c>
      <c r="N77" s="240">
        <f t="shared" si="13"/>
        <v>0.0969</v>
      </c>
      <c r="O77" s="85">
        <f t="shared" si="14"/>
        <v>393.1034482758621</v>
      </c>
      <c r="P77" s="85">
        <f t="shared" si="12"/>
        <v>13617.743183924464</v>
      </c>
    </row>
    <row r="78" spans="1:16" ht="12.75">
      <c r="A78" s="223">
        <f t="shared" si="6"/>
        <v>22</v>
      </c>
      <c r="B78" s="224">
        <f t="shared" si="7"/>
        <v>1132129.5692251055</v>
      </c>
      <c r="C78" s="224">
        <f t="shared" si="8"/>
        <v>3526.6934641558746</v>
      </c>
      <c r="D78" s="235">
        <f t="shared" si="1"/>
        <v>9141.946271492727</v>
      </c>
      <c r="E78" s="224">
        <f t="shared" si="2"/>
        <v>12668.639735648601</v>
      </c>
      <c r="F78" s="224">
        <f t="shared" si="9"/>
        <v>306</v>
      </c>
      <c r="G78" s="224">
        <f t="shared" si="10"/>
        <v>456</v>
      </c>
      <c r="H78" s="224">
        <f t="shared" si="11"/>
        <v>290</v>
      </c>
      <c r="I78" s="224">
        <f t="shared" si="3"/>
        <v>13720.639735648601</v>
      </c>
      <c r="J78" s="236"/>
      <c r="K78" s="228"/>
      <c r="L78" s="238">
        <f t="shared" si="4"/>
        <v>1128602.8757609497</v>
      </c>
      <c r="M78" s="239">
        <f t="shared" si="5"/>
        <v>762</v>
      </c>
      <c r="N78" s="240">
        <f t="shared" si="13"/>
        <v>0.0969</v>
      </c>
      <c r="O78" s="85">
        <f t="shared" si="14"/>
        <v>393.1034482758621</v>
      </c>
      <c r="P78" s="85">
        <f t="shared" si="12"/>
        <v>13617.743183924464</v>
      </c>
    </row>
    <row r="79" spans="1:16" ht="12.75">
      <c r="A79" s="223">
        <f t="shared" si="6"/>
        <v>23</v>
      </c>
      <c r="B79" s="224">
        <f t="shared" si="7"/>
        <v>1128602.8757609497</v>
      </c>
      <c r="C79" s="224">
        <f t="shared" si="8"/>
        <v>3555.171513878935</v>
      </c>
      <c r="D79" s="235">
        <f t="shared" si="1"/>
        <v>9113.468221769668</v>
      </c>
      <c r="E79" s="224">
        <f t="shared" si="2"/>
        <v>12668.639735648603</v>
      </c>
      <c r="F79" s="224">
        <f t="shared" si="9"/>
        <v>306</v>
      </c>
      <c r="G79" s="224">
        <f t="shared" si="10"/>
        <v>456</v>
      </c>
      <c r="H79" s="224">
        <f t="shared" si="11"/>
        <v>290</v>
      </c>
      <c r="I79" s="224">
        <f t="shared" si="3"/>
        <v>13720.639735648603</v>
      </c>
      <c r="J79" s="236"/>
      <c r="K79" s="228"/>
      <c r="L79" s="238">
        <f t="shared" si="4"/>
        <v>1125047.7042470707</v>
      </c>
      <c r="M79" s="239">
        <f t="shared" si="5"/>
        <v>762</v>
      </c>
      <c r="N79" s="240">
        <f t="shared" si="13"/>
        <v>0.0969</v>
      </c>
      <c r="O79" s="85">
        <f t="shared" si="14"/>
        <v>393.1034482758621</v>
      </c>
      <c r="P79" s="85">
        <f t="shared" si="12"/>
        <v>13617.743183924465</v>
      </c>
    </row>
    <row r="80" spans="1:16" ht="12.75">
      <c r="A80" s="223">
        <f t="shared" si="6"/>
        <v>24</v>
      </c>
      <c r="B80" s="224">
        <f t="shared" si="7"/>
        <v>1125047.7042470707</v>
      </c>
      <c r="C80" s="224">
        <f t="shared" si="8"/>
        <v>3583.8795238535076</v>
      </c>
      <c r="D80" s="235">
        <f t="shared" si="1"/>
        <v>9084.760211795096</v>
      </c>
      <c r="E80" s="224">
        <f t="shared" si="2"/>
        <v>12668.639735648603</v>
      </c>
      <c r="F80" s="224">
        <f t="shared" si="9"/>
        <v>306</v>
      </c>
      <c r="G80" s="224">
        <f t="shared" si="10"/>
        <v>456</v>
      </c>
      <c r="H80" s="224">
        <f t="shared" si="11"/>
        <v>290</v>
      </c>
      <c r="I80" s="224">
        <f t="shared" si="3"/>
        <v>13720.639735648603</v>
      </c>
      <c r="J80" s="236"/>
      <c r="K80" s="237"/>
      <c r="L80" s="238">
        <f t="shared" si="4"/>
        <v>1121463.8247232172</v>
      </c>
      <c r="M80" s="239">
        <f t="shared" si="5"/>
        <v>762</v>
      </c>
      <c r="N80" s="240">
        <f t="shared" si="13"/>
        <v>0.0969</v>
      </c>
      <c r="O80" s="85">
        <f t="shared" si="14"/>
        <v>393.1034482758621</v>
      </c>
      <c r="P80" s="85">
        <f t="shared" si="12"/>
        <v>13617.743183924465</v>
      </c>
    </row>
    <row r="81" spans="1:16" ht="12.75">
      <c r="A81" s="223">
        <f t="shared" si="6"/>
        <v>25</v>
      </c>
      <c r="B81" s="224">
        <f t="shared" si="7"/>
        <v>1121463.8247232172</v>
      </c>
      <c r="C81" s="224">
        <f t="shared" si="8"/>
        <v>3612.819351008622</v>
      </c>
      <c r="D81" s="235">
        <f t="shared" si="1"/>
        <v>9055.82038463998</v>
      </c>
      <c r="E81" s="224">
        <f t="shared" si="2"/>
        <v>12668.639735648601</v>
      </c>
      <c r="F81" s="224">
        <f t="shared" si="9"/>
        <v>306</v>
      </c>
      <c r="G81" s="224">
        <f t="shared" si="10"/>
        <v>456</v>
      </c>
      <c r="H81" s="224">
        <f t="shared" si="11"/>
        <v>290</v>
      </c>
      <c r="I81" s="224">
        <f t="shared" si="3"/>
        <v>13720.639735648601</v>
      </c>
      <c r="J81" s="236"/>
      <c r="K81" s="237"/>
      <c r="L81" s="238">
        <f t="shared" si="4"/>
        <v>1117851.0053722085</v>
      </c>
      <c r="M81" s="239">
        <f t="shared" si="5"/>
        <v>762</v>
      </c>
      <c r="N81" s="240">
        <f t="shared" si="13"/>
        <v>0.0969</v>
      </c>
      <c r="O81" s="85">
        <f t="shared" si="14"/>
        <v>393.1034482758621</v>
      </c>
      <c r="P81" s="85">
        <f t="shared" si="12"/>
        <v>13617.743183924464</v>
      </c>
    </row>
    <row r="82" spans="1:16" ht="12.75">
      <c r="A82" s="223">
        <f t="shared" si="6"/>
        <v>26</v>
      </c>
      <c r="B82" s="224">
        <f t="shared" si="7"/>
        <v>1117851.0053722085</v>
      </c>
      <c r="C82" s="224">
        <f t="shared" si="8"/>
        <v>3641.992867268018</v>
      </c>
      <c r="D82" s="235">
        <f t="shared" si="1"/>
        <v>9026.646868380585</v>
      </c>
      <c r="E82" s="224">
        <f t="shared" si="2"/>
        <v>12668.639735648603</v>
      </c>
      <c r="F82" s="224">
        <f t="shared" si="9"/>
        <v>306</v>
      </c>
      <c r="G82" s="224">
        <f t="shared" si="10"/>
        <v>456</v>
      </c>
      <c r="H82" s="224">
        <f t="shared" si="11"/>
        <v>290</v>
      </c>
      <c r="I82" s="224">
        <f t="shared" si="3"/>
        <v>13720.639735648603</v>
      </c>
      <c r="J82" s="236"/>
      <c r="K82" s="228"/>
      <c r="L82" s="238">
        <f t="shared" si="4"/>
        <v>1114209.0125049406</v>
      </c>
      <c r="M82" s="239">
        <f t="shared" si="5"/>
        <v>762</v>
      </c>
      <c r="N82" s="240">
        <f t="shared" si="13"/>
        <v>0.0969</v>
      </c>
      <c r="O82" s="85">
        <f t="shared" si="14"/>
        <v>393.1034482758621</v>
      </c>
      <c r="P82" s="85">
        <f t="shared" si="12"/>
        <v>13617.743183924465</v>
      </c>
    </row>
    <row r="83" spans="1:16" ht="12.75">
      <c r="A83" s="223">
        <f t="shared" si="6"/>
        <v>27</v>
      </c>
      <c r="B83" s="224">
        <f t="shared" si="7"/>
        <v>1114209.0125049406</v>
      </c>
      <c r="C83" s="224">
        <f t="shared" si="8"/>
        <v>3671.401959671208</v>
      </c>
      <c r="D83" s="235">
        <f t="shared" si="1"/>
        <v>8997.237775977395</v>
      </c>
      <c r="E83" s="224">
        <f t="shared" si="2"/>
        <v>12668.639735648603</v>
      </c>
      <c r="F83" s="224">
        <f t="shared" si="9"/>
        <v>306</v>
      </c>
      <c r="G83" s="224">
        <f t="shared" si="10"/>
        <v>456</v>
      </c>
      <c r="H83" s="224">
        <f t="shared" si="11"/>
        <v>290</v>
      </c>
      <c r="I83" s="224">
        <f t="shared" si="3"/>
        <v>13720.639735648603</v>
      </c>
      <c r="J83" s="236"/>
      <c r="K83" s="228"/>
      <c r="L83" s="238">
        <f t="shared" si="4"/>
        <v>1110537.6105452694</v>
      </c>
      <c r="M83" s="239">
        <f t="shared" si="5"/>
        <v>762</v>
      </c>
      <c r="N83" s="240">
        <f t="shared" si="13"/>
        <v>0.0969</v>
      </c>
      <c r="O83" s="85">
        <f t="shared" si="14"/>
        <v>393.1034482758621</v>
      </c>
      <c r="P83" s="85">
        <f t="shared" si="12"/>
        <v>13617.743183924465</v>
      </c>
    </row>
    <row r="84" spans="1:16" ht="12.75">
      <c r="A84" s="223">
        <f t="shared" si="6"/>
        <v>28</v>
      </c>
      <c r="B84" s="224">
        <f t="shared" si="7"/>
        <v>1110537.6105452694</v>
      </c>
      <c r="C84" s="224">
        <f t="shared" si="8"/>
        <v>3701.0485304955528</v>
      </c>
      <c r="D84" s="235">
        <f t="shared" si="1"/>
        <v>8967.59120515305</v>
      </c>
      <c r="E84" s="224">
        <f t="shared" si="2"/>
        <v>12668.639735648603</v>
      </c>
      <c r="F84" s="224">
        <f t="shared" si="9"/>
        <v>306</v>
      </c>
      <c r="G84" s="224">
        <f t="shared" si="10"/>
        <v>456</v>
      </c>
      <c r="H84" s="224">
        <f t="shared" si="11"/>
        <v>290</v>
      </c>
      <c r="I84" s="224">
        <f t="shared" si="3"/>
        <v>13720.639735648603</v>
      </c>
      <c r="J84" s="236"/>
      <c r="K84" s="228"/>
      <c r="L84" s="238">
        <f t="shared" si="4"/>
        <v>1106836.562014774</v>
      </c>
      <c r="M84" s="239">
        <f t="shared" si="5"/>
        <v>762</v>
      </c>
      <c r="N84" s="240">
        <f t="shared" si="13"/>
        <v>0.0969</v>
      </c>
      <c r="O84" s="85">
        <f t="shared" si="14"/>
        <v>393.1034482758621</v>
      </c>
      <c r="P84" s="85">
        <f t="shared" si="12"/>
        <v>13617.743183924465</v>
      </c>
    </row>
    <row r="85" spans="1:16" ht="12.75">
      <c r="A85" s="223">
        <f t="shared" si="6"/>
        <v>29</v>
      </c>
      <c r="B85" s="224">
        <f t="shared" si="7"/>
        <v>1106836.562014774</v>
      </c>
      <c r="C85" s="224">
        <f t="shared" si="8"/>
        <v>3730.934497379307</v>
      </c>
      <c r="D85" s="235">
        <f t="shared" si="1"/>
        <v>8937.7052382693</v>
      </c>
      <c r="E85" s="224">
        <f t="shared" si="2"/>
        <v>12668.639735648607</v>
      </c>
      <c r="F85" s="224">
        <f t="shared" si="9"/>
        <v>306</v>
      </c>
      <c r="G85" s="224">
        <f t="shared" si="10"/>
        <v>456</v>
      </c>
      <c r="H85" s="224">
        <f t="shared" si="11"/>
        <v>290</v>
      </c>
      <c r="I85" s="224">
        <f t="shared" si="3"/>
        <v>13720.639735648607</v>
      </c>
      <c r="J85" s="236"/>
      <c r="K85" s="228"/>
      <c r="L85" s="238">
        <f t="shared" si="4"/>
        <v>1103105.6275173947</v>
      </c>
      <c r="M85" s="239">
        <f t="shared" si="5"/>
        <v>762</v>
      </c>
      <c r="N85" s="240">
        <f t="shared" si="13"/>
        <v>0.0969</v>
      </c>
      <c r="O85" s="85">
        <f t="shared" si="14"/>
        <v>393.1034482758621</v>
      </c>
      <c r="P85" s="85">
        <f t="shared" si="12"/>
        <v>13617.74318392447</v>
      </c>
    </row>
    <row r="86" spans="1:16" ht="12.75">
      <c r="A86" s="223">
        <f t="shared" si="6"/>
        <v>30</v>
      </c>
      <c r="B86" s="224">
        <f t="shared" si="7"/>
        <v>1103105.6275173947</v>
      </c>
      <c r="C86" s="224">
        <f t="shared" si="8"/>
        <v>3761.061793445646</v>
      </c>
      <c r="D86" s="235">
        <f t="shared" si="1"/>
        <v>8907.577942202963</v>
      </c>
      <c r="E86" s="224">
        <f t="shared" si="2"/>
        <v>12668.639735648609</v>
      </c>
      <c r="F86" s="224">
        <f t="shared" si="9"/>
        <v>306</v>
      </c>
      <c r="G86" s="224">
        <f t="shared" si="10"/>
        <v>456</v>
      </c>
      <c r="H86" s="224">
        <f t="shared" si="11"/>
        <v>290</v>
      </c>
      <c r="I86" s="224">
        <f t="shared" si="3"/>
        <v>13720.639735648609</v>
      </c>
      <c r="J86" s="236"/>
      <c r="K86" s="228"/>
      <c r="L86" s="238">
        <f t="shared" si="4"/>
        <v>1099344.565723949</v>
      </c>
      <c r="M86" s="239">
        <f t="shared" si="5"/>
        <v>762</v>
      </c>
      <c r="N86" s="240">
        <f t="shared" si="13"/>
        <v>0.0969</v>
      </c>
      <c r="O86" s="85">
        <f t="shared" si="14"/>
        <v>393.1034482758621</v>
      </c>
      <c r="P86" s="85">
        <f t="shared" si="12"/>
        <v>13617.743183924471</v>
      </c>
    </row>
    <row r="87" spans="1:16" ht="12.75">
      <c r="A87" s="223">
        <f t="shared" si="6"/>
        <v>31</v>
      </c>
      <c r="B87" s="224">
        <f t="shared" si="7"/>
        <v>1099344.565723949</v>
      </c>
      <c r="C87" s="224">
        <f t="shared" si="8"/>
        <v>3791.4323674277184</v>
      </c>
      <c r="D87" s="235">
        <f t="shared" si="1"/>
        <v>8877.207368220888</v>
      </c>
      <c r="E87" s="224">
        <f t="shared" si="2"/>
        <v>12668.639735648607</v>
      </c>
      <c r="F87" s="224">
        <f t="shared" si="9"/>
        <v>306</v>
      </c>
      <c r="G87" s="224">
        <f t="shared" si="10"/>
        <v>456</v>
      </c>
      <c r="H87" s="224">
        <f t="shared" si="11"/>
        <v>290</v>
      </c>
      <c r="I87" s="224">
        <f t="shared" si="3"/>
        <v>13720.639735648607</v>
      </c>
      <c r="J87" s="236"/>
      <c r="K87" s="228"/>
      <c r="L87" s="238">
        <f t="shared" si="4"/>
        <v>1095553.1333565214</v>
      </c>
      <c r="M87" s="239">
        <f t="shared" si="5"/>
        <v>762</v>
      </c>
      <c r="N87" s="240">
        <f t="shared" si="13"/>
        <v>0.0969</v>
      </c>
      <c r="O87" s="85">
        <f t="shared" si="14"/>
        <v>393.1034482758621</v>
      </c>
      <c r="P87" s="85">
        <f t="shared" si="12"/>
        <v>13617.74318392447</v>
      </c>
    </row>
    <row r="88" spans="1:16" ht="12.75">
      <c r="A88" s="223">
        <f t="shared" si="6"/>
        <v>32</v>
      </c>
      <c r="B88" s="224">
        <f t="shared" si="7"/>
        <v>1095553.1333565214</v>
      </c>
      <c r="C88" s="224">
        <f t="shared" si="8"/>
        <v>3822.0481837946973</v>
      </c>
      <c r="D88" s="235">
        <f t="shared" si="1"/>
        <v>8846.59155185391</v>
      </c>
      <c r="E88" s="224">
        <f t="shared" si="2"/>
        <v>12668.639735648607</v>
      </c>
      <c r="F88" s="224">
        <f t="shared" si="9"/>
        <v>306</v>
      </c>
      <c r="G88" s="224">
        <f t="shared" si="10"/>
        <v>456</v>
      </c>
      <c r="H88" s="224">
        <f t="shared" si="11"/>
        <v>290</v>
      </c>
      <c r="I88" s="224">
        <f t="shared" si="3"/>
        <v>13720.639735648607</v>
      </c>
      <c r="J88" s="236"/>
      <c r="K88" s="228"/>
      <c r="L88" s="238">
        <f t="shared" si="4"/>
        <v>1091731.0851727268</v>
      </c>
      <c r="M88" s="239">
        <f t="shared" si="5"/>
        <v>762</v>
      </c>
      <c r="N88" s="240">
        <f t="shared" si="13"/>
        <v>0.0969</v>
      </c>
      <c r="O88" s="85">
        <f t="shared" si="14"/>
        <v>393.1034482758621</v>
      </c>
      <c r="P88" s="85">
        <f t="shared" si="12"/>
        <v>13617.74318392447</v>
      </c>
    </row>
    <row r="89" spans="1:16" ht="12.75">
      <c r="A89" s="223">
        <f t="shared" si="6"/>
        <v>33</v>
      </c>
      <c r="B89" s="224">
        <f t="shared" si="7"/>
        <v>1091731.0851727268</v>
      </c>
      <c r="C89" s="224">
        <f t="shared" si="8"/>
        <v>3852.911222878838</v>
      </c>
      <c r="D89" s="235">
        <f t="shared" si="1"/>
        <v>8815.728512769769</v>
      </c>
      <c r="E89" s="224">
        <f t="shared" si="2"/>
        <v>12668.639735648607</v>
      </c>
      <c r="F89" s="224">
        <f t="shared" si="9"/>
        <v>306</v>
      </c>
      <c r="G89" s="224">
        <f t="shared" si="10"/>
        <v>456</v>
      </c>
      <c r="H89" s="224">
        <f t="shared" si="11"/>
        <v>290</v>
      </c>
      <c r="I89" s="224">
        <f t="shared" si="3"/>
        <v>13720.639735648607</v>
      </c>
      <c r="J89" s="236"/>
      <c r="K89" s="228"/>
      <c r="L89" s="238">
        <f t="shared" si="4"/>
        <v>1087878.173949848</v>
      </c>
      <c r="M89" s="239">
        <f t="shared" si="5"/>
        <v>762</v>
      </c>
      <c r="N89" s="240">
        <f t="shared" si="13"/>
        <v>0.0969</v>
      </c>
      <c r="O89" s="85">
        <f t="shared" si="14"/>
        <v>393.1034482758621</v>
      </c>
      <c r="P89" s="85">
        <f t="shared" si="12"/>
        <v>13617.74318392447</v>
      </c>
    </row>
    <row r="90" spans="1:16" ht="12.75">
      <c r="A90" s="223">
        <f t="shared" si="6"/>
        <v>34</v>
      </c>
      <c r="B90" s="224">
        <f t="shared" si="7"/>
        <v>1087878.173949848</v>
      </c>
      <c r="C90" s="224">
        <f t="shared" si="8"/>
        <v>3884.0234810035854</v>
      </c>
      <c r="D90" s="235">
        <f t="shared" si="1"/>
        <v>8784.616254645023</v>
      </c>
      <c r="E90" s="224">
        <f t="shared" si="2"/>
        <v>12668.639735648609</v>
      </c>
      <c r="F90" s="224">
        <f t="shared" si="9"/>
        <v>306</v>
      </c>
      <c r="G90" s="224">
        <f t="shared" si="10"/>
        <v>456</v>
      </c>
      <c r="H90" s="224">
        <f t="shared" si="11"/>
        <v>290</v>
      </c>
      <c r="I90" s="224">
        <f t="shared" si="3"/>
        <v>13720.639735648609</v>
      </c>
      <c r="J90" s="236"/>
      <c r="K90" s="228"/>
      <c r="L90" s="238">
        <f t="shared" si="4"/>
        <v>1083994.1504688445</v>
      </c>
      <c r="M90" s="239">
        <f t="shared" si="5"/>
        <v>762</v>
      </c>
      <c r="N90" s="240">
        <f t="shared" si="13"/>
        <v>0.0969</v>
      </c>
      <c r="O90" s="85">
        <f t="shared" si="14"/>
        <v>393.1034482758621</v>
      </c>
      <c r="P90" s="85">
        <f t="shared" si="12"/>
        <v>13617.743183924471</v>
      </c>
    </row>
    <row r="91" spans="1:16" ht="12.75">
      <c r="A91" s="223">
        <f t="shared" si="6"/>
        <v>35</v>
      </c>
      <c r="B91" s="224">
        <f t="shared" si="7"/>
        <v>1083994.1504688445</v>
      </c>
      <c r="C91" s="224">
        <f t="shared" si="8"/>
        <v>3915.3869706126916</v>
      </c>
      <c r="D91" s="235">
        <f t="shared" si="1"/>
        <v>8753.252765035919</v>
      </c>
      <c r="E91" s="224">
        <f t="shared" si="2"/>
        <v>12668.63973564861</v>
      </c>
      <c r="F91" s="224">
        <f t="shared" si="9"/>
        <v>306</v>
      </c>
      <c r="G91" s="224">
        <f t="shared" si="10"/>
        <v>456</v>
      </c>
      <c r="H91" s="224">
        <f t="shared" si="11"/>
        <v>290</v>
      </c>
      <c r="I91" s="224">
        <f t="shared" si="3"/>
        <v>13720.63973564861</v>
      </c>
      <c r="J91" s="236"/>
      <c r="K91" s="228"/>
      <c r="L91" s="238">
        <f t="shared" si="4"/>
        <v>1080078.7634982318</v>
      </c>
      <c r="M91" s="239">
        <f t="shared" si="5"/>
        <v>762</v>
      </c>
      <c r="N91" s="240">
        <f t="shared" si="13"/>
        <v>0.0969</v>
      </c>
      <c r="O91" s="85">
        <f t="shared" si="14"/>
        <v>393.1034482758621</v>
      </c>
      <c r="P91" s="85">
        <f t="shared" si="12"/>
        <v>13617.743183924473</v>
      </c>
    </row>
    <row r="92" spans="1:16" ht="12.75">
      <c r="A92" s="223">
        <f t="shared" si="6"/>
        <v>36</v>
      </c>
      <c r="B92" s="224">
        <f t="shared" si="7"/>
        <v>1080078.7634982318</v>
      </c>
      <c r="C92" s="224">
        <f t="shared" si="8"/>
        <v>3947.0037204003893</v>
      </c>
      <c r="D92" s="235">
        <f t="shared" si="1"/>
        <v>8721.636015248221</v>
      </c>
      <c r="E92" s="224">
        <f t="shared" si="2"/>
        <v>12668.63973564861</v>
      </c>
      <c r="F92" s="224">
        <f t="shared" si="9"/>
        <v>306</v>
      </c>
      <c r="G92" s="224">
        <f t="shared" si="10"/>
        <v>456</v>
      </c>
      <c r="H92" s="224">
        <f t="shared" si="11"/>
        <v>290</v>
      </c>
      <c r="I92" s="224">
        <f t="shared" si="3"/>
        <v>13720.63973564861</v>
      </c>
      <c r="J92" s="236"/>
      <c r="K92" s="237"/>
      <c r="L92" s="238">
        <f t="shared" si="4"/>
        <v>1076131.7597778314</v>
      </c>
      <c r="M92" s="239">
        <f t="shared" si="5"/>
        <v>762</v>
      </c>
      <c r="N92" s="240">
        <f t="shared" si="13"/>
        <v>0.0969</v>
      </c>
      <c r="O92" s="85">
        <f t="shared" si="14"/>
        <v>393.1034482758621</v>
      </c>
      <c r="P92" s="85">
        <f t="shared" si="12"/>
        <v>13617.743183924473</v>
      </c>
    </row>
    <row r="93" spans="1:16" ht="12.75">
      <c r="A93" s="223">
        <f t="shared" si="6"/>
        <v>37</v>
      </c>
      <c r="B93" s="224">
        <f t="shared" si="7"/>
        <v>1076131.7597778314</v>
      </c>
      <c r="C93" s="224">
        <f t="shared" si="8"/>
        <v>3978.8757754426206</v>
      </c>
      <c r="D93" s="235">
        <f t="shared" si="1"/>
        <v>8689.763960205988</v>
      </c>
      <c r="E93" s="224">
        <f t="shared" si="2"/>
        <v>12668.639735648609</v>
      </c>
      <c r="F93" s="224">
        <f t="shared" si="9"/>
        <v>306</v>
      </c>
      <c r="G93" s="224">
        <f t="shared" si="10"/>
        <v>456</v>
      </c>
      <c r="H93" s="224">
        <f t="shared" si="11"/>
        <v>290</v>
      </c>
      <c r="I93" s="224">
        <f t="shared" si="3"/>
        <v>13720.639735648609</v>
      </c>
      <c r="J93" s="236"/>
      <c r="K93" s="237"/>
      <c r="L93" s="238">
        <f t="shared" si="4"/>
        <v>1072152.8840023887</v>
      </c>
      <c r="M93" s="239">
        <f t="shared" si="5"/>
        <v>762</v>
      </c>
      <c r="N93" s="240">
        <f t="shared" si="13"/>
        <v>0.0969</v>
      </c>
      <c r="O93" s="85">
        <f t="shared" si="14"/>
        <v>393.1034482758621</v>
      </c>
      <c r="P93" s="85">
        <f t="shared" si="12"/>
        <v>13617.743183924471</v>
      </c>
    </row>
    <row r="94" spans="1:16" ht="12.75">
      <c r="A94" s="223">
        <f t="shared" si="6"/>
        <v>38</v>
      </c>
      <c r="B94" s="224">
        <f t="shared" si="7"/>
        <v>1072152.8840023887</v>
      </c>
      <c r="C94" s="224">
        <f t="shared" si="8"/>
        <v>4011.0051973293193</v>
      </c>
      <c r="D94" s="235">
        <f t="shared" si="1"/>
        <v>8657.634538319287</v>
      </c>
      <c r="E94" s="224">
        <f t="shared" si="2"/>
        <v>12668.639735648607</v>
      </c>
      <c r="F94" s="224">
        <f t="shared" si="9"/>
        <v>306</v>
      </c>
      <c r="G94" s="224">
        <f t="shared" si="10"/>
        <v>456</v>
      </c>
      <c r="H94" s="224">
        <f t="shared" si="11"/>
        <v>290</v>
      </c>
      <c r="I94" s="224">
        <f t="shared" si="3"/>
        <v>13720.639735648607</v>
      </c>
      <c r="J94" s="236"/>
      <c r="K94" s="228"/>
      <c r="L94" s="238">
        <f t="shared" si="4"/>
        <v>1068141.8788050595</v>
      </c>
      <c r="M94" s="239">
        <f t="shared" si="5"/>
        <v>762</v>
      </c>
      <c r="N94" s="240">
        <f t="shared" si="13"/>
        <v>0.0969</v>
      </c>
      <c r="O94" s="85">
        <f t="shared" si="14"/>
        <v>393.1034482758621</v>
      </c>
      <c r="P94" s="85">
        <f t="shared" si="12"/>
        <v>13617.74318392447</v>
      </c>
    </row>
    <row r="95" spans="1:16" ht="12.75">
      <c r="A95" s="223">
        <f t="shared" si="6"/>
        <v>39</v>
      </c>
      <c r="B95" s="224">
        <f t="shared" si="7"/>
        <v>1068141.8788050595</v>
      </c>
      <c r="C95" s="224">
        <f t="shared" si="8"/>
        <v>4043.394064297754</v>
      </c>
      <c r="D95" s="235">
        <f t="shared" si="1"/>
        <v>8625.245671350856</v>
      </c>
      <c r="E95" s="224">
        <f t="shared" si="2"/>
        <v>12668.63973564861</v>
      </c>
      <c r="F95" s="224">
        <f t="shared" si="9"/>
        <v>306</v>
      </c>
      <c r="G95" s="224">
        <f t="shared" si="10"/>
        <v>456</v>
      </c>
      <c r="H95" s="224">
        <f t="shared" si="11"/>
        <v>290</v>
      </c>
      <c r="I95" s="224">
        <f t="shared" si="3"/>
        <v>13720.63973564861</v>
      </c>
      <c r="J95" s="236"/>
      <c r="K95" s="228"/>
      <c r="L95" s="238">
        <f t="shared" si="4"/>
        <v>1064098.4847407618</v>
      </c>
      <c r="M95" s="239">
        <f t="shared" si="5"/>
        <v>762</v>
      </c>
      <c r="N95" s="240">
        <f t="shared" si="13"/>
        <v>0.0969</v>
      </c>
      <c r="O95" s="85">
        <f t="shared" si="14"/>
        <v>393.1034482758621</v>
      </c>
      <c r="P95" s="85">
        <f t="shared" si="12"/>
        <v>13617.743183924473</v>
      </c>
    </row>
    <row r="96" spans="1:16" ht="12.75">
      <c r="A96" s="223">
        <f t="shared" si="6"/>
        <v>40</v>
      </c>
      <c r="B96" s="224">
        <f t="shared" si="7"/>
        <v>1064098.4847407618</v>
      </c>
      <c r="C96" s="224">
        <f t="shared" si="8"/>
        <v>4076.0444713669585</v>
      </c>
      <c r="D96" s="235">
        <f t="shared" si="1"/>
        <v>8592.595264281652</v>
      </c>
      <c r="E96" s="224">
        <f t="shared" si="2"/>
        <v>12668.63973564861</v>
      </c>
      <c r="F96" s="224">
        <f t="shared" si="9"/>
        <v>306</v>
      </c>
      <c r="G96" s="224">
        <f t="shared" si="10"/>
        <v>456</v>
      </c>
      <c r="H96" s="224">
        <f t="shared" si="11"/>
        <v>290</v>
      </c>
      <c r="I96" s="224">
        <f t="shared" si="3"/>
        <v>13720.63973564861</v>
      </c>
      <c r="J96" s="236"/>
      <c r="K96" s="228"/>
      <c r="L96" s="238">
        <f t="shared" si="4"/>
        <v>1060022.4402693948</v>
      </c>
      <c r="M96" s="239">
        <f t="shared" si="5"/>
        <v>762</v>
      </c>
      <c r="N96" s="240">
        <f t="shared" si="13"/>
        <v>0.0969</v>
      </c>
      <c r="O96" s="85">
        <f t="shared" si="14"/>
        <v>393.1034482758621</v>
      </c>
      <c r="P96" s="85">
        <f t="shared" si="12"/>
        <v>13617.743183924473</v>
      </c>
    </row>
    <row r="97" spans="1:16" ht="12.75">
      <c r="A97" s="223">
        <f t="shared" si="6"/>
        <v>41</v>
      </c>
      <c r="B97" s="224">
        <f t="shared" si="7"/>
        <v>1060022.4402693948</v>
      </c>
      <c r="C97" s="224">
        <f t="shared" si="8"/>
        <v>4108.958530473248</v>
      </c>
      <c r="D97" s="235">
        <f t="shared" si="1"/>
        <v>8559.681205175362</v>
      </c>
      <c r="E97" s="224">
        <f t="shared" si="2"/>
        <v>12668.63973564861</v>
      </c>
      <c r="F97" s="224">
        <f t="shared" si="9"/>
        <v>306</v>
      </c>
      <c r="G97" s="224">
        <f t="shared" si="10"/>
        <v>456</v>
      </c>
      <c r="H97" s="224">
        <f t="shared" si="11"/>
        <v>290</v>
      </c>
      <c r="I97" s="224">
        <f t="shared" si="3"/>
        <v>13720.63973564861</v>
      </c>
      <c r="J97" s="236"/>
      <c r="K97" s="228"/>
      <c r="L97" s="238">
        <f t="shared" si="4"/>
        <v>1055913.4817389215</v>
      </c>
      <c r="M97" s="239">
        <f t="shared" si="5"/>
        <v>762</v>
      </c>
      <c r="N97" s="240">
        <f t="shared" si="13"/>
        <v>0.0969</v>
      </c>
      <c r="O97" s="85">
        <f t="shared" si="14"/>
        <v>393.1034482758621</v>
      </c>
      <c r="P97" s="85">
        <f t="shared" si="12"/>
        <v>13617.743183924473</v>
      </c>
    </row>
    <row r="98" spans="1:16" ht="12.75">
      <c r="A98" s="223">
        <f t="shared" si="6"/>
        <v>42</v>
      </c>
      <c r="B98" s="224">
        <f t="shared" si="7"/>
        <v>1055913.4817389215</v>
      </c>
      <c r="C98" s="224">
        <f t="shared" si="8"/>
        <v>4142.138370606817</v>
      </c>
      <c r="D98" s="235">
        <f t="shared" si="1"/>
        <v>8526.501365041791</v>
      </c>
      <c r="E98" s="224">
        <f t="shared" si="2"/>
        <v>12668.639735648609</v>
      </c>
      <c r="F98" s="224">
        <f t="shared" si="9"/>
        <v>306</v>
      </c>
      <c r="G98" s="224">
        <f t="shared" si="10"/>
        <v>456</v>
      </c>
      <c r="H98" s="224">
        <f t="shared" si="11"/>
        <v>290</v>
      </c>
      <c r="I98" s="224">
        <f t="shared" si="3"/>
        <v>13720.639735648609</v>
      </c>
      <c r="J98" s="236"/>
      <c r="K98" s="228"/>
      <c r="L98" s="238">
        <f t="shared" si="4"/>
        <v>1051771.3433683147</v>
      </c>
      <c r="M98" s="239">
        <f t="shared" si="5"/>
        <v>762</v>
      </c>
      <c r="N98" s="240">
        <f t="shared" si="13"/>
        <v>0.0969</v>
      </c>
      <c r="O98" s="85">
        <f t="shared" si="14"/>
        <v>393.1034482758621</v>
      </c>
      <c r="P98" s="85">
        <f t="shared" si="12"/>
        <v>13617.743183924471</v>
      </c>
    </row>
    <row r="99" spans="1:16" ht="12.75">
      <c r="A99" s="223">
        <f t="shared" si="6"/>
        <v>43</v>
      </c>
      <c r="B99" s="224">
        <f t="shared" si="7"/>
        <v>1051771.3433683147</v>
      </c>
      <c r="C99" s="224">
        <f t="shared" si="8"/>
        <v>4175.586137949467</v>
      </c>
      <c r="D99" s="235">
        <f t="shared" si="1"/>
        <v>8493.053597699141</v>
      </c>
      <c r="E99" s="224">
        <f t="shared" si="2"/>
        <v>12668.639735648609</v>
      </c>
      <c r="F99" s="224">
        <f t="shared" si="9"/>
        <v>306</v>
      </c>
      <c r="G99" s="224">
        <f t="shared" si="10"/>
        <v>456</v>
      </c>
      <c r="H99" s="224">
        <f t="shared" si="11"/>
        <v>290</v>
      </c>
      <c r="I99" s="224">
        <f t="shared" si="3"/>
        <v>13720.639735648609</v>
      </c>
      <c r="J99" s="236"/>
      <c r="K99" s="228"/>
      <c r="L99" s="238">
        <f t="shared" si="4"/>
        <v>1047595.7572303652</v>
      </c>
      <c r="M99" s="239">
        <f t="shared" si="5"/>
        <v>762</v>
      </c>
      <c r="N99" s="240">
        <f t="shared" si="13"/>
        <v>0.0969</v>
      </c>
      <c r="O99" s="85">
        <f t="shared" si="14"/>
        <v>393.1034482758621</v>
      </c>
      <c r="P99" s="85">
        <f t="shared" si="12"/>
        <v>13617.743183924471</v>
      </c>
    </row>
    <row r="100" spans="1:16" ht="12.75">
      <c r="A100" s="223">
        <f t="shared" si="6"/>
        <v>44</v>
      </c>
      <c r="B100" s="224">
        <f t="shared" si="7"/>
        <v>1047595.7572303652</v>
      </c>
      <c r="C100" s="224">
        <f t="shared" si="8"/>
        <v>4209.30399601341</v>
      </c>
      <c r="D100" s="235">
        <f t="shared" si="1"/>
        <v>8459.335739635198</v>
      </c>
      <c r="E100" s="224">
        <f t="shared" si="2"/>
        <v>12668.639735648609</v>
      </c>
      <c r="F100" s="224">
        <f t="shared" si="9"/>
        <v>306</v>
      </c>
      <c r="G100" s="224">
        <f t="shared" si="10"/>
        <v>456</v>
      </c>
      <c r="H100" s="224">
        <f t="shared" si="11"/>
        <v>290</v>
      </c>
      <c r="I100" s="224">
        <f t="shared" si="3"/>
        <v>13720.639735648609</v>
      </c>
      <c r="J100" s="236"/>
      <c r="K100" s="228"/>
      <c r="L100" s="238">
        <f t="shared" si="4"/>
        <v>1043386.4532343518</v>
      </c>
      <c r="M100" s="239">
        <f t="shared" si="5"/>
        <v>762</v>
      </c>
      <c r="N100" s="240">
        <f t="shared" si="13"/>
        <v>0.0969</v>
      </c>
      <c r="O100" s="85">
        <f t="shared" si="14"/>
        <v>393.1034482758621</v>
      </c>
      <c r="P100" s="85">
        <f t="shared" si="12"/>
        <v>13617.743183924471</v>
      </c>
    </row>
    <row r="101" spans="1:16" ht="12.75">
      <c r="A101" s="223">
        <f t="shared" si="6"/>
        <v>45</v>
      </c>
      <c r="B101" s="224">
        <f t="shared" si="7"/>
        <v>1043386.4532343518</v>
      </c>
      <c r="C101" s="224">
        <f t="shared" si="8"/>
        <v>4243.29412578122</v>
      </c>
      <c r="D101" s="235">
        <f t="shared" si="1"/>
        <v>8425.34560986739</v>
      </c>
      <c r="E101" s="224">
        <f t="shared" si="2"/>
        <v>12668.63973564861</v>
      </c>
      <c r="F101" s="224">
        <f t="shared" si="9"/>
        <v>306</v>
      </c>
      <c r="G101" s="224">
        <f t="shared" si="10"/>
        <v>456</v>
      </c>
      <c r="H101" s="224">
        <f t="shared" si="11"/>
        <v>290</v>
      </c>
      <c r="I101" s="224">
        <f t="shared" si="3"/>
        <v>13720.63973564861</v>
      </c>
      <c r="J101" s="236"/>
      <c r="K101" s="228"/>
      <c r="L101" s="238">
        <f t="shared" si="4"/>
        <v>1039143.1591085705</v>
      </c>
      <c r="M101" s="239">
        <f t="shared" si="5"/>
        <v>762</v>
      </c>
      <c r="N101" s="240">
        <f t="shared" si="13"/>
        <v>0.0969</v>
      </c>
      <c r="O101" s="85">
        <f t="shared" si="14"/>
        <v>393.1034482758621</v>
      </c>
      <c r="P101" s="85">
        <f t="shared" si="12"/>
        <v>13617.743183924473</v>
      </c>
    </row>
    <row r="102" spans="1:16" ht="12.75">
      <c r="A102" s="223">
        <f t="shared" si="6"/>
        <v>46</v>
      </c>
      <c r="B102" s="224">
        <f t="shared" si="7"/>
        <v>1039143.1591085705</v>
      </c>
      <c r="C102" s="224">
        <f t="shared" si="8"/>
        <v>4277.558725846902</v>
      </c>
      <c r="D102" s="235">
        <f t="shared" si="1"/>
        <v>8391.081009801708</v>
      </c>
      <c r="E102" s="224">
        <f t="shared" si="2"/>
        <v>12668.63973564861</v>
      </c>
      <c r="F102" s="224">
        <f t="shared" si="9"/>
        <v>306</v>
      </c>
      <c r="G102" s="224">
        <f t="shared" si="10"/>
        <v>456</v>
      </c>
      <c r="H102" s="224">
        <f t="shared" si="11"/>
        <v>290</v>
      </c>
      <c r="I102" s="224">
        <f t="shared" si="3"/>
        <v>13720.63973564861</v>
      </c>
      <c r="J102" s="236"/>
      <c r="K102" s="228"/>
      <c r="L102" s="238">
        <f t="shared" si="4"/>
        <v>1034865.6003827236</v>
      </c>
      <c r="M102" s="239">
        <f t="shared" si="5"/>
        <v>762</v>
      </c>
      <c r="N102" s="240">
        <f t="shared" si="13"/>
        <v>0.0969</v>
      </c>
      <c r="O102" s="85">
        <f t="shared" si="14"/>
        <v>393.1034482758621</v>
      </c>
      <c r="P102" s="85">
        <f t="shared" si="12"/>
        <v>13617.743183924473</v>
      </c>
    </row>
    <row r="103" spans="1:16" ht="12.75">
      <c r="A103" s="223">
        <f t="shared" si="6"/>
        <v>47</v>
      </c>
      <c r="B103" s="224">
        <f t="shared" si="7"/>
        <v>1034865.6003827236</v>
      </c>
      <c r="C103" s="224">
        <f t="shared" si="8"/>
        <v>4312.100012558118</v>
      </c>
      <c r="D103" s="235">
        <f t="shared" si="1"/>
        <v>8356.539723090493</v>
      </c>
      <c r="E103" s="224">
        <f t="shared" si="2"/>
        <v>12668.63973564861</v>
      </c>
      <c r="F103" s="224">
        <f t="shared" si="9"/>
        <v>306</v>
      </c>
      <c r="G103" s="224">
        <f t="shared" si="10"/>
        <v>456</v>
      </c>
      <c r="H103" s="224">
        <f t="shared" si="11"/>
        <v>290</v>
      </c>
      <c r="I103" s="224">
        <f t="shared" si="3"/>
        <v>13720.63973564861</v>
      </c>
      <c r="J103" s="236"/>
      <c r="K103" s="228"/>
      <c r="L103" s="238">
        <f t="shared" si="4"/>
        <v>1030553.5003701654</v>
      </c>
      <c r="M103" s="239">
        <f t="shared" si="5"/>
        <v>762</v>
      </c>
      <c r="N103" s="240">
        <f t="shared" si="13"/>
        <v>0.0969</v>
      </c>
      <c r="O103" s="85">
        <f t="shared" si="14"/>
        <v>393.1034482758621</v>
      </c>
      <c r="P103" s="85">
        <f t="shared" si="12"/>
        <v>13617.743183924473</v>
      </c>
    </row>
    <row r="104" spans="1:16" ht="12.75">
      <c r="A104" s="223">
        <f t="shared" si="6"/>
        <v>48</v>
      </c>
      <c r="B104" s="224">
        <f t="shared" si="7"/>
        <v>1030553.5003701654</v>
      </c>
      <c r="C104" s="224">
        <f t="shared" si="8"/>
        <v>4346.9202201595235</v>
      </c>
      <c r="D104" s="235">
        <f t="shared" si="1"/>
        <v>8321.719515489085</v>
      </c>
      <c r="E104" s="224">
        <f t="shared" si="2"/>
        <v>12668.639735648609</v>
      </c>
      <c r="F104" s="224">
        <f t="shared" si="9"/>
        <v>306</v>
      </c>
      <c r="G104" s="224">
        <f t="shared" si="10"/>
        <v>456</v>
      </c>
      <c r="H104" s="224">
        <f t="shared" si="11"/>
        <v>290</v>
      </c>
      <c r="I104" s="224">
        <f t="shared" si="3"/>
        <v>13720.639735648609</v>
      </c>
      <c r="J104" s="236"/>
      <c r="K104" s="237"/>
      <c r="L104" s="238">
        <f t="shared" si="4"/>
        <v>1026206.5801500059</v>
      </c>
      <c r="M104" s="239">
        <f t="shared" si="5"/>
        <v>762</v>
      </c>
      <c r="N104" s="240">
        <f t="shared" si="13"/>
        <v>0.0969</v>
      </c>
      <c r="O104" s="85">
        <f t="shared" si="14"/>
        <v>393.1034482758621</v>
      </c>
      <c r="P104" s="85">
        <f t="shared" si="12"/>
        <v>13617.743183924471</v>
      </c>
    </row>
    <row r="105" spans="1:16" ht="12.75">
      <c r="A105" s="223">
        <f t="shared" si="6"/>
        <v>49</v>
      </c>
      <c r="B105" s="224">
        <f t="shared" si="7"/>
        <v>1026206.5801500059</v>
      </c>
      <c r="C105" s="224">
        <f t="shared" si="8"/>
        <v>4382.021600937311</v>
      </c>
      <c r="D105" s="235">
        <f t="shared" si="1"/>
        <v>8286.618134711298</v>
      </c>
      <c r="E105" s="224">
        <f t="shared" si="2"/>
        <v>12668.639735648609</v>
      </c>
      <c r="F105" s="224">
        <f t="shared" si="9"/>
        <v>306</v>
      </c>
      <c r="G105" s="224">
        <f t="shared" si="10"/>
        <v>456</v>
      </c>
      <c r="H105" s="224">
        <f t="shared" si="11"/>
        <v>290</v>
      </c>
      <c r="I105" s="224">
        <f t="shared" si="3"/>
        <v>13720.639735648609</v>
      </c>
      <c r="J105" s="236"/>
      <c r="K105" s="237"/>
      <c r="L105" s="238">
        <f t="shared" si="4"/>
        <v>1021824.5585490685</v>
      </c>
      <c r="M105" s="239">
        <f t="shared" si="5"/>
        <v>762</v>
      </c>
      <c r="N105" s="240">
        <f t="shared" si="13"/>
        <v>0.0969</v>
      </c>
      <c r="O105" s="85">
        <f t="shared" si="14"/>
        <v>393.1034482758621</v>
      </c>
      <c r="P105" s="85">
        <f t="shared" si="12"/>
        <v>13617.743183924471</v>
      </c>
    </row>
    <row r="106" spans="1:16" ht="12.75">
      <c r="A106" s="223">
        <f t="shared" si="6"/>
        <v>50</v>
      </c>
      <c r="B106" s="224">
        <f t="shared" si="7"/>
        <v>1021824.5585490685</v>
      </c>
      <c r="C106" s="224">
        <f t="shared" si="8"/>
        <v>4417.406425364879</v>
      </c>
      <c r="D106" s="235">
        <f t="shared" si="1"/>
        <v>8251.233310283727</v>
      </c>
      <c r="E106" s="224">
        <f t="shared" si="2"/>
        <v>12668.639735648607</v>
      </c>
      <c r="F106" s="224">
        <f t="shared" si="9"/>
        <v>306</v>
      </c>
      <c r="G106" s="224">
        <f t="shared" si="10"/>
        <v>456</v>
      </c>
      <c r="H106" s="224">
        <f t="shared" si="11"/>
        <v>290</v>
      </c>
      <c r="I106" s="224">
        <f t="shared" si="3"/>
        <v>13720.639735648607</v>
      </c>
      <c r="J106" s="236"/>
      <c r="K106" s="228"/>
      <c r="L106" s="238">
        <f t="shared" si="4"/>
        <v>1017407.1521237036</v>
      </c>
      <c r="M106" s="239">
        <f t="shared" si="5"/>
        <v>762</v>
      </c>
      <c r="N106" s="240">
        <f t="shared" si="13"/>
        <v>0.0969</v>
      </c>
      <c r="O106" s="85">
        <f t="shared" si="14"/>
        <v>393.1034482758621</v>
      </c>
      <c r="P106" s="85">
        <f t="shared" si="12"/>
        <v>13617.74318392447</v>
      </c>
    </row>
    <row r="107" spans="1:16" ht="12.75">
      <c r="A107" s="223">
        <f t="shared" si="6"/>
        <v>51</v>
      </c>
      <c r="B107" s="224">
        <f t="shared" si="7"/>
        <v>1017407.1521237036</v>
      </c>
      <c r="C107" s="224">
        <f t="shared" si="8"/>
        <v>4453.0769822497</v>
      </c>
      <c r="D107" s="235">
        <f t="shared" si="1"/>
        <v>8215.562753398906</v>
      </c>
      <c r="E107" s="224">
        <f t="shared" si="2"/>
        <v>12668.639735648607</v>
      </c>
      <c r="F107" s="224">
        <f t="shared" si="9"/>
        <v>306</v>
      </c>
      <c r="G107" s="224">
        <f t="shared" si="10"/>
        <v>456</v>
      </c>
      <c r="H107" s="224">
        <f t="shared" si="11"/>
        <v>290</v>
      </c>
      <c r="I107" s="224">
        <f t="shared" si="3"/>
        <v>13720.639735648607</v>
      </c>
      <c r="J107" s="236"/>
      <c r="K107" s="228"/>
      <c r="L107" s="238">
        <f t="shared" si="4"/>
        <v>1012954.0751414539</v>
      </c>
      <c r="M107" s="239">
        <f t="shared" si="5"/>
        <v>762</v>
      </c>
      <c r="N107" s="240">
        <f t="shared" si="13"/>
        <v>0.0969</v>
      </c>
      <c r="O107" s="85">
        <f t="shared" si="14"/>
        <v>393.1034482758621</v>
      </c>
      <c r="P107" s="85">
        <f t="shared" si="12"/>
        <v>13617.74318392447</v>
      </c>
    </row>
    <row r="108" spans="1:16" ht="12.75">
      <c r="A108" s="223">
        <f t="shared" si="6"/>
        <v>52</v>
      </c>
      <c r="B108" s="224">
        <f t="shared" si="7"/>
        <v>1012954.0751414539</v>
      </c>
      <c r="C108" s="224">
        <f t="shared" si="8"/>
        <v>4489.035578881369</v>
      </c>
      <c r="D108" s="235">
        <f t="shared" si="1"/>
        <v>8179.60415676724</v>
      </c>
      <c r="E108" s="224">
        <f t="shared" si="2"/>
        <v>12668.639735648609</v>
      </c>
      <c r="F108" s="224">
        <f t="shared" si="9"/>
        <v>306</v>
      </c>
      <c r="G108" s="224">
        <f t="shared" si="10"/>
        <v>456</v>
      </c>
      <c r="H108" s="224">
        <f t="shared" si="11"/>
        <v>290</v>
      </c>
      <c r="I108" s="224">
        <f t="shared" si="3"/>
        <v>13720.639735648609</v>
      </c>
      <c r="J108" s="236"/>
      <c r="K108" s="228"/>
      <c r="L108" s="238">
        <f t="shared" si="4"/>
        <v>1008465.0395625725</v>
      </c>
      <c r="M108" s="239">
        <f t="shared" si="5"/>
        <v>762</v>
      </c>
      <c r="N108" s="240">
        <f t="shared" si="13"/>
        <v>0.0969</v>
      </c>
      <c r="O108" s="85">
        <f t="shared" si="14"/>
        <v>393.1034482758621</v>
      </c>
      <c r="P108" s="85">
        <f t="shared" si="12"/>
        <v>13617.743183924471</v>
      </c>
    </row>
    <row r="109" spans="1:16" ht="12.75">
      <c r="A109" s="223">
        <f t="shared" si="6"/>
        <v>53</v>
      </c>
      <c r="B109" s="224">
        <f t="shared" si="7"/>
        <v>1008465.0395625725</v>
      </c>
      <c r="C109" s="224">
        <f t="shared" si="8"/>
        <v>4525.284541180835</v>
      </c>
      <c r="D109" s="235">
        <f t="shared" si="1"/>
        <v>8143.355194467772</v>
      </c>
      <c r="E109" s="224">
        <f t="shared" si="2"/>
        <v>12668.639735648607</v>
      </c>
      <c r="F109" s="224">
        <f t="shared" si="9"/>
        <v>306</v>
      </c>
      <c r="G109" s="224">
        <f t="shared" si="10"/>
        <v>456</v>
      </c>
      <c r="H109" s="224">
        <f t="shared" si="11"/>
        <v>290</v>
      </c>
      <c r="I109" s="224">
        <f t="shared" si="3"/>
        <v>13720.639735648607</v>
      </c>
      <c r="J109" s="236"/>
      <c r="K109" s="228"/>
      <c r="L109" s="238">
        <f t="shared" si="4"/>
        <v>1003939.7550213917</v>
      </c>
      <c r="M109" s="239">
        <f t="shared" si="5"/>
        <v>762</v>
      </c>
      <c r="N109" s="240">
        <f t="shared" si="13"/>
        <v>0.0969</v>
      </c>
      <c r="O109" s="85">
        <f t="shared" si="14"/>
        <v>393.1034482758621</v>
      </c>
      <c r="P109" s="85">
        <f t="shared" si="12"/>
        <v>13617.74318392447</v>
      </c>
    </row>
    <row r="110" spans="1:16" ht="12.75">
      <c r="A110" s="223">
        <f t="shared" si="6"/>
        <v>54</v>
      </c>
      <c r="B110" s="224">
        <f t="shared" si="7"/>
        <v>1003939.7550213917</v>
      </c>
      <c r="C110" s="224">
        <f t="shared" si="8"/>
        <v>4561.826213850866</v>
      </c>
      <c r="D110" s="235">
        <f t="shared" si="1"/>
        <v>8106.813521797737</v>
      </c>
      <c r="E110" s="224">
        <f t="shared" si="2"/>
        <v>12668.639735648603</v>
      </c>
      <c r="F110" s="224">
        <f t="shared" si="9"/>
        <v>306</v>
      </c>
      <c r="G110" s="224">
        <f t="shared" si="10"/>
        <v>456</v>
      </c>
      <c r="H110" s="224">
        <f t="shared" si="11"/>
        <v>290</v>
      </c>
      <c r="I110" s="224">
        <f t="shared" si="3"/>
        <v>13720.639735648603</v>
      </c>
      <c r="J110" s="236"/>
      <c r="K110" s="228"/>
      <c r="L110" s="238">
        <f t="shared" si="4"/>
        <v>999377.9288075408</v>
      </c>
      <c r="M110" s="239">
        <f t="shared" si="5"/>
        <v>762</v>
      </c>
      <c r="N110" s="240">
        <f t="shared" si="13"/>
        <v>0.0969</v>
      </c>
      <c r="O110" s="85">
        <f t="shared" si="14"/>
        <v>393.1034482758621</v>
      </c>
      <c r="P110" s="85">
        <f t="shared" si="12"/>
        <v>13617.743183924465</v>
      </c>
    </row>
    <row r="111" spans="1:16" ht="12.75">
      <c r="A111" s="223">
        <f t="shared" si="6"/>
        <v>55</v>
      </c>
      <c r="B111" s="224">
        <f t="shared" si="7"/>
        <v>999377.9288075408</v>
      </c>
      <c r="C111" s="224">
        <f t="shared" si="8"/>
        <v>4598.662960527715</v>
      </c>
      <c r="D111" s="235">
        <f t="shared" si="1"/>
        <v>8069.976775120892</v>
      </c>
      <c r="E111" s="224">
        <f t="shared" si="2"/>
        <v>12668.639735648607</v>
      </c>
      <c r="F111" s="224">
        <f t="shared" si="9"/>
        <v>306</v>
      </c>
      <c r="G111" s="224">
        <f t="shared" si="10"/>
        <v>456</v>
      </c>
      <c r="H111" s="224">
        <f t="shared" si="11"/>
        <v>290</v>
      </c>
      <c r="I111" s="224">
        <f t="shared" si="3"/>
        <v>13720.639735648607</v>
      </c>
      <c r="J111" s="236"/>
      <c r="K111" s="228"/>
      <c r="L111" s="238">
        <f t="shared" si="4"/>
        <v>994779.2658470131</v>
      </c>
      <c r="M111" s="239">
        <f t="shared" si="5"/>
        <v>762</v>
      </c>
      <c r="N111" s="240">
        <f t="shared" si="13"/>
        <v>0.0969</v>
      </c>
      <c r="O111" s="85">
        <f t="shared" si="14"/>
        <v>393.1034482758621</v>
      </c>
      <c r="P111" s="85">
        <f t="shared" si="12"/>
        <v>13617.74318392447</v>
      </c>
    </row>
    <row r="112" spans="1:16" ht="12.75">
      <c r="A112" s="223">
        <f t="shared" si="6"/>
        <v>56</v>
      </c>
      <c r="B112" s="224">
        <f t="shared" si="7"/>
        <v>994779.2658470131</v>
      </c>
      <c r="C112" s="224">
        <f t="shared" si="8"/>
        <v>4635.797163933976</v>
      </c>
      <c r="D112" s="235">
        <f t="shared" si="1"/>
        <v>8032.842571714631</v>
      </c>
      <c r="E112" s="224">
        <f t="shared" si="2"/>
        <v>12668.639735648607</v>
      </c>
      <c r="F112" s="224">
        <f t="shared" si="9"/>
        <v>306</v>
      </c>
      <c r="G112" s="224">
        <f t="shared" si="10"/>
        <v>456</v>
      </c>
      <c r="H112" s="224">
        <f t="shared" si="11"/>
        <v>290</v>
      </c>
      <c r="I112" s="224">
        <f t="shared" si="3"/>
        <v>13720.639735648607</v>
      </c>
      <c r="J112" s="236"/>
      <c r="K112" s="228"/>
      <c r="L112" s="238">
        <f t="shared" si="4"/>
        <v>990143.4686830791</v>
      </c>
      <c r="M112" s="239">
        <f t="shared" si="5"/>
        <v>762</v>
      </c>
      <c r="N112" s="240">
        <f t="shared" si="13"/>
        <v>0.0969</v>
      </c>
      <c r="O112" s="85">
        <f t="shared" si="14"/>
        <v>393.1034482758621</v>
      </c>
      <c r="P112" s="85">
        <f t="shared" si="12"/>
        <v>13617.74318392447</v>
      </c>
    </row>
    <row r="113" spans="1:16" ht="12.75">
      <c r="A113" s="223">
        <f t="shared" si="6"/>
        <v>57</v>
      </c>
      <c r="B113" s="224">
        <f t="shared" si="7"/>
        <v>990143.4686830791</v>
      </c>
      <c r="C113" s="224">
        <f t="shared" si="8"/>
        <v>4673.2312260327435</v>
      </c>
      <c r="D113" s="235">
        <f t="shared" si="1"/>
        <v>7995.408509615863</v>
      </c>
      <c r="E113" s="224">
        <f t="shared" si="2"/>
        <v>12668.639735648607</v>
      </c>
      <c r="F113" s="224">
        <f t="shared" si="9"/>
        <v>306</v>
      </c>
      <c r="G113" s="224">
        <f t="shared" si="10"/>
        <v>456</v>
      </c>
      <c r="H113" s="224">
        <f t="shared" si="11"/>
        <v>290</v>
      </c>
      <c r="I113" s="224">
        <f t="shared" si="3"/>
        <v>13720.639735648607</v>
      </c>
      <c r="J113" s="236"/>
      <c r="K113" s="228"/>
      <c r="L113" s="238">
        <f t="shared" si="4"/>
        <v>985470.2374570464</v>
      </c>
      <c r="M113" s="239">
        <f t="shared" si="5"/>
        <v>762</v>
      </c>
      <c r="N113" s="240">
        <f t="shared" si="13"/>
        <v>0.0969</v>
      </c>
      <c r="O113" s="85">
        <f t="shared" si="14"/>
        <v>393.1034482758621</v>
      </c>
      <c r="P113" s="85">
        <f t="shared" si="12"/>
        <v>13617.74318392447</v>
      </c>
    </row>
    <row r="114" spans="1:16" ht="12.75">
      <c r="A114" s="223">
        <f t="shared" si="6"/>
        <v>58</v>
      </c>
      <c r="B114" s="224">
        <f t="shared" si="7"/>
        <v>985470.2374570464</v>
      </c>
      <c r="C114" s="224">
        <f t="shared" si="8"/>
        <v>4710.967568182957</v>
      </c>
      <c r="D114" s="235">
        <f t="shared" si="1"/>
        <v>7957.67216746565</v>
      </c>
      <c r="E114" s="224">
        <f t="shared" si="2"/>
        <v>12668.639735648607</v>
      </c>
      <c r="F114" s="224">
        <f t="shared" si="9"/>
        <v>306</v>
      </c>
      <c r="G114" s="224">
        <f t="shared" si="10"/>
        <v>456</v>
      </c>
      <c r="H114" s="224">
        <f t="shared" si="11"/>
        <v>290</v>
      </c>
      <c r="I114" s="224">
        <f t="shared" si="3"/>
        <v>13720.639735648607</v>
      </c>
      <c r="J114" s="236"/>
      <c r="K114" s="228"/>
      <c r="L114" s="238">
        <f t="shared" si="4"/>
        <v>980759.2698888634</v>
      </c>
      <c r="M114" s="239">
        <f t="shared" si="5"/>
        <v>762</v>
      </c>
      <c r="N114" s="240">
        <f t="shared" si="13"/>
        <v>0.0969</v>
      </c>
      <c r="O114" s="85">
        <f t="shared" si="14"/>
        <v>393.1034482758621</v>
      </c>
      <c r="P114" s="85">
        <f t="shared" si="12"/>
        <v>13617.74318392447</v>
      </c>
    </row>
    <row r="115" spans="1:16" ht="12.75">
      <c r="A115" s="223">
        <f t="shared" si="6"/>
        <v>59</v>
      </c>
      <c r="B115" s="224">
        <f t="shared" si="7"/>
        <v>980759.2698888634</v>
      </c>
      <c r="C115" s="224">
        <f t="shared" si="8"/>
        <v>4749.008631296035</v>
      </c>
      <c r="D115" s="235">
        <f t="shared" si="1"/>
        <v>7919.631104352572</v>
      </c>
      <c r="E115" s="224">
        <f t="shared" si="2"/>
        <v>12668.639735648607</v>
      </c>
      <c r="F115" s="224">
        <f t="shared" si="9"/>
        <v>306</v>
      </c>
      <c r="G115" s="224">
        <f t="shared" si="10"/>
        <v>456</v>
      </c>
      <c r="H115" s="224">
        <f t="shared" si="11"/>
        <v>290</v>
      </c>
      <c r="I115" s="224">
        <f t="shared" si="3"/>
        <v>13720.639735648607</v>
      </c>
      <c r="J115" s="236"/>
      <c r="K115" s="228"/>
      <c r="L115" s="238">
        <f t="shared" si="4"/>
        <v>976010.2612575674</v>
      </c>
      <c r="M115" s="239">
        <f t="shared" si="5"/>
        <v>762</v>
      </c>
      <c r="N115" s="240">
        <f t="shared" si="13"/>
        <v>0.0969</v>
      </c>
      <c r="O115" s="85">
        <f t="shared" si="14"/>
        <v>393.1034482758621</v>
      </c>
      <c r="P115" s="85">
        <f t="shared" si="12"/>
        <v>13617.74318392447</v>
      </c>
    </row>
    <row r="116" spans="1:16" ht="12.75">
      <c r="A116" s="223">
        <f t="shared" si="6"/>
        <v>60</v>
      </c>
      <c r="B116" s="224">
        <f t="shared" si="7"/>
        <v>976010.2612575674</v>
      </c>
      <c r="C116" s="224">
        <f t="shared" si="8"/>
        <v>4787.35687599375</v>
      </c>
      <c r="D116" s="235">
        <f t="shared" si="1"/>
        <v>7881.282859654857</v>
      </c>
      <c r="E116" s="224">
        <f t="shared" si="2"/>
        <v>12668.639735648607</v>
      </c>
      <c r="F116" s="224">
        <f t="shared" si="9"/>
        <v>306</v>
      </c>
      <c r="G116" s="224">
        <f t="shared" si="10"/>
        <v>456</v>
      </c>
      <c r="H116" s="224">
        <f t="shared" si="11"/>
        <v>290</v>
      </c>
      <c r="I116" s="224">
        <f t="shared" si="3"/>
        <v>13720.639735648607</v>
      </c>
      <c r="J116" s="236"/>
      <c r="K116" s="237"/>
      <c r="L116" s="238">
        <f t="shared" si="4"/>
        <v>971222.9043815737</v>
      </c>
      <c r="M116" s="239">
        <f t="shared" si="5"/>
        <v>762</v>
      </c>
      <c r="N116" s="240">
        <f t="shared" si="13"/>
        <v>0.0969</v>
      </c>
      <c r="O116" s="85">
        <f t="shared" si="14"/>
        <v>393.1034482758621</v>
      </c>
      <c r="P116" s="85">
        <f t="shared" si="12"/>
        <v>13617.74318392447</v>
      </c>
    </row>
    <row r="117" spans="1:16" ht="12.75">
      <c r="A117" s="223">
        <f t="shared" si="6"/>
        <v>61</v>
      </c>
      <c r="B117" s="224">
        <f t="shared" si="7"/>
        <v>971222.9043815737</v>
      </c>
      <c r="C117" s="224">
        <f t="shared" si="8"/>
        <v>4826.014782767399</v>
      </c>
      <c r="D117" s="235">
        <f t="shared" si="1"/>
        <v>7842.624952881208</v>
      </c>
      <c r="E117" s="224">
        <f t="shared" si="2"/>
        <v>12668.639735648607</v>
      </c>
      <c r="F117" s="224">
        <f t="shared" si="9"/>
        <v>306</v>
      </c>
      <c r="G117" s="224">
        <f t="shared" si="10"/>
        <v>456</v>
      </c>
      <c r="H117" s="224">
        <f t="shared" si="11"/>
        <v>290</v>
      </c>
      <c r="I117" s="224">
        <f t="shared" si="3"/>
        <v>13720.639735648607</v>
      </c>
      <c r="J117" s="236"/>
      <c r="K117" s="228"/>
      <c r="L117" s="238">
        <f t="shared" si="4"/>
        <v>966396.8895988063</v>
      </c>
      <c r="M117" s="239">
        <f t="shared" si="5"/>
        <v>762</v>
      </c>
      <c r="N117" s="240">
        <f t="shared" si="13"/>
        <v>0.0969</v>
      </c>
      <c r="O117" s="85">
        <f t="shared" si="14"/>
        <v>393.1034482758621</v>
      </c>
      <c r="P117" s="85">
        <f t="shared" si="12"/>
        <v>13617.74318392447</v>
      </c>
    </row>
    <row r="118" spans="1:16" ht="12.75">
      <c r="A118" s="223">
        <f t="shared" si="6"/>
        <v>62</v>
      </c>
      <c r="B118" s="224">
        <f t="shared" si="7"/>
        <v>966396.8895988063</v>
      </c>
      <c r="C118" s="224">
        <f t="shared" si="8"/>
        <v>4864.984852138246</v>
      </c>
      <c r="D118" s="235">
        <f t="shared" si="1"/>
        <v>7803.65488351036</v>
      </c>
      <c r="E118" s="224">
        <f t="shared" si="2"/>
        <v>12668.639735648607</v>
      </c>
      <c r="F118" s="224">
        <f t="shared" si="9"/>
        <v>306</v>
      </c>
      <c r="G118" s="224">
        <f t="shared" si="10"/>
        <v>456</v>
      </c>
      <c r="H118" s="224">
        <f t="shared" si="11"/>
        <v>290</v>
      </c>
      <c r="I118" s="224">
        <f t="shared" si="3"/>
        <v>13720.639735648607</v>
      </c>
      <c r="J118" s="236"/>
      <c r="K118" s="228"/>
      <c r="L118" s="238">
        <f t="shared" si="4"/>
        <v>961531.9047466681</v>
      </c>
      <c r="M118" s="239">
        <f t="shared" si="5"/>
        <v>762</v>
      </c>
      <c r="N118" s="240">
        <f t="shared" si="13"/>
        <v>0.0969</v>
      </c>
      <c r="O118" s="85">
        <f t="shared" si="14"/>
        <v>393.1034482758621</v>
      </c>
      <c r="P118" s="85">
        <f t="shared" si="12"/>
        <v>13617.74318392447</v>
      </c>
    </row>
    <row r="119" spans="1:16" ht="12.75">
      <c r="A119" s="223">
        <f t="shared" si="6"/>
        <v>63</v>
      </c>
      <c r="B119" s="224">
        <f t="shared" si="7"/>
        <v>961531.9047466681</v>
      </c>
      <c r="C119" s="224">
        <f t="shared" si="8"/>
        <v>4904.269604819264</v>
      </c>
      <c r="D119" s="235">
        <f t="shared" si="1"/>
        <v>7764.370130829345</v>
      </c>
      <c r="E119" s="224">
        <f t="shared" si="2"/>
        <v>12668.639735648609</v>
      </c>
      <c r="F119" s="224">
        <f t="shared" si="9"/>
        <v>306</v>
      </c>
      <c r="G119" s="224">
        <f t="shared" si="10"/>
        <v>456</v>
      </c>
      <c r="H119" s="224">
        <f t="shared" si="11"/>
        <v>290</v>
      </c>
      <c r="I119" s="224">
        <f t="shared" si="3"/>
        <v>13720.639735648609</v>
      </c>
      <c r="J119" s="236"/>
      <c r="K119" s="228"/>
      <c r="L119" s="238">
        <f t="shared" si="4"/>
        <v>956627.6351418488</v>
      </c>
      <c r="M119" s="239">
        <f t="shared" si="5"/>
        <v>762</v>
      </c>
      <c r="N119" s="240">
        <f t="shared" si="13"/>
        <v>0.0969</v>
      </c>
      <c r="O119" s="85">
        <f t="shared" si="14"/>
        <v>393.1034482758621</v>
      </c>
      <c r="P119" s="85">
        <f t="shared" si="12"/>
        <v>13617.743183924471</v>
      </c>
    </row>
    <row r="120" spans="1:16" ht="12.75">
      <c r="A120" s="223">
        <f t="shared" si="6"/>
        <v>64</v>
      </c>
      <c r="B120" s="224">
        <f t="shared" si="7"/>
        <v>956627.6351418488</v>
      </c>
      <c r="C120" s="224">
        <f t="shared" si="8"/>
        <v>4943.871581878179</v>
      </c>
      <c r="D120" s="235">
        <f t="shared" si="1"/>
        <v>7724.768153770429</v>
      </c>
      <c r="E120" s="224">
        <f t="shared" si="2"/>
        <v>12668.639735648609</v>
      </c>
      <c r="F120" s="224">
        <f t="shared" si="9"/>
        <v>306</v>
      </c>
      <c r="G120" s="224">
        <f t="shared" si="10"/>
        <v>456</v>
      </c>
      <c r="H120" s="224">
        <f t="shared" si="11"/>
        <v>290</v>
      </c>
      <c r="I120" s="224">
        <f t="shared" si="3"/>
        <v>13720.639735648609</v>
      </c>
      <c r="J120" s="236"/>
      <c r="K120" s="228"/>
      <c r="L120" s="238">
        <f t="shared" si="4"/>
        <v>951683.7635599707</v>
      </c>
      <c r="M120" s="239">
        <f t="shared" si="5"/>
        <v>762</v>
      </c>
      <c r="N120" s="240">
        <f t="shared" si="13"/>
        <v>0.0969</v>
      </c>
      <c r="O120" s="85">
        <f t="shared" si="14"/>
        <v>393.1034482758621</v>
      </c>
      <c r="P120" s="85">
        <f t="shared" si="12"/>
        <v>13617.743183924471</v>
      </c>
    </row>
    <row r="121" spans="1:16" ht="12.75">
      <c r="A121" s="223">
        <f t="shared" si="6"/>
        <v>65</v>
      </c>
      <c r="B121" s="224">
        <f t="shared" si="7"/>
        <v>951683.7635599707</v>
      </c>
      <c r="C121" s="224">
        <f t="shared" si="8"/>
        <v>4983.793344901844</v>
      </c>
      <c r="D121" s="235">
        <f aca="true" t="shared" si="15" ref="D121:D184">IF(A121="","",(B121*($C$17))/12)</f>
        <v>7684.846390746763</v>
      </c>
      <c r="E121" s="224">
        <f aca="true" t="shared" si="16" ref="E121:E184">IF(B121&lt;(IF(A121="","",IF($J$52=2,$G$12,PMT($C$17/12,$C$18-A120,-B121,0,0)))),B121+D121,IF(A121="","",IF($J$52=2,$G$12,PMT($C$17/12,$C$18-A120,-B121,0,0))))</f>
        <v>12668.639735648607</v>
      </c>
      <c r="F121" s="224">
        <f t="shared" si="9"/>
        <v>306</v>
      </c>
      <c r="G121" s="224">
        <f t="shared" si="10"/>
        <v>456</v>
      </c>
      <c r="H121" s="224">
        <f t="shared" si="11"/>
        <v>290</v>
      </c>
      <c r="I121" s="224">
        <f aca="true" t="shared" si="17" ref="I121:I184">IF(A121="","",E121+F121+G121+H121)</f>
        <v>13720.639735648607</v>
      </c>
      <c r="J121" s="236"/>
      <c r="K121" s="228"/>
      <c r="L121" s="238">
        <f aca="true" t="shared" si="18" ref="L121:L184">IF(A121="","",B121-C121-J121-K121)</f>
        <v>946699.9702150688</v>
      </c>
      <c r="M121" s="239">
        <f aca="true" t="shared" si="19" ref="M121:M184">IF(A121="","",G121+F121)</f>
        <v>762</v>
      </c>
      <c r="N121" s="240">
        <f t="shared" si="13"/>
        <v>0.0969</v>
      </c>
      <c r="O121" s="85">
        <f t="shared" si="14"/>
        <v>393.1034482758621</v>
      </c>
      <c r="P121" s="85">
        <f t="shared" si="12"/>
        <v>13617.74318392447</v>
      </c>
    </row>
    <row r="122" spans="1:16" ht="12.75">
      <c r="A122" s="223">
        <f aca="true" t="shared" si="20" ref="A122:A185">IF(A121="","",IF((B121-C121)&lt;0.01,"",A121+1))</f>
        <v>66</v>
      </c>
      <c r="B122" s="224">
        <f aca="true" t="shared" si="21" ref="B122:B185">IF(A122="","",(B121-C121-J121-K121))</f>
        <v>946699.9702150688</v>
      </c>
      <c r="C122" s="224">
        <f aca="true" t="shared" si="22" ref="C122:C185">IF(A122="","",E122-D122)</f>
        <v>5024.037476161928</v>
      </c>
      <c r="D122" s="235">
        <f t="shared" si="15"/>
        <v>7644.602259486681</v>
      </c>
      <c r="E122" s="224">
        <f t="shared" si="16"/>
        <v>12668.639735648609</v>
      </c>
      <c r="F122" s="224">
        <f aca="true" t="shared" si="23" ref="F122:F185">IF(A122="","",F121)</f>
        <v>306</v>
      </c>
      <c r="G122" s="224">
        <f aca="true" t="shared" si="24" ref="G122:G185">IF(A122="","",G121)</f>
        <v>456</v>
      </c>
      <c r="H122" s="224">
        <f aca="true" t="shared" si="25" ref="H122:H185">IF(A122="","",H121)</f>
        <v>290</v>
      </c>
      <c r="I122" s="224">
        <f t="shared" si="17"/>
        <v>13720.639735648609</v>
      </c>
      <c r="J122" s="236"/>
      <c r="K122" s="228"/>
      <c r="L122" s="238">
        <f t="shared" si="18"/>
        <v>941675.9327389068</v>
      </c>
      <c r="M122" s="239">
        <f t="shared" si="19"/>
        <v>762</v>
      </c>
      <c r="N122" s="240">
        <f t="shared" si="13"/>
        <v>0.0969</v>
      </c>
      <c r="O122" s="85">
        <f t="shared" si="14"/>
        <v>393.1034482758621</v>
      </c>
      <c r="P122" s="85">
        <f aca="true" t="shared" si="26" ref="P122:P185">IF(A122="","",E122+F122+O122+H122/1.16)</f>
        <v>13617.743183924471</v>
      </c>
    </row>
    <row r="123" spans="1:16" ht="12.75">
      <c r="A123" s="223">
        <f t="shared" si="20"/>
        <v>67</v>
      </c>
      <c r="B123" s="224">
        <f t="shared" si="21"/>
        <v>941675.9327389068</v>
      </c>
      <c r="C123" s="224">
        <f t="shared" si="22"/>
        <v>5064.606578781938</v>
      </c>
      <c r="D123" s="235">
        <f t="shared" si="15"/>
        <v>7604.0331568666725</v>
      </c>
      <c r="E123" s="224">
        <f t="shared" si="16"/>
        <v>12668.63973564861</v>
      </c>
      <c r="F123" s="224">
        <f t="shared" si="23"/>
        <v>306</v>
      </c>
      <c r="G123" s="224">
        <f t="shared" si="24"/>
        <v>456</v>
      </c>
      <c r="H123" s="224">
        <f t="shared" si="25"/>
        <v>290</v>
      </c>
      <c r="I123" s="224">
        <f t="shared" si="17"/>
        <v>13720.63973564861</v>
      </c>
      <c r="J123" s="236"/>
      <c r="K123" s="228"/>
      <c r="L123" s="238">
        <f t="shared" si="18"/>
        <v>936611.3261601249</v>
      </c>
      <c r="M123" s="239">
        <f t="shared" si="19"/>
        <v>762</v>
      </c>
      <c r="N123" s="240">
        <f aca="true" t="shared" si="27" ref="N123:N186">IF(A123="","",$C$17)</f>
        <v>0.0969</v>
      </c>
      <c r="O123" s="85">
        <f aca="true" t="shared" si="28" ref="O123:O186">IF(A123="","",G122/1.16)</f>
        <v>393.1034482758621</v>
      </c>
      <c r="P123" s="85">
        <f t="shared" si="26"/>
        <v>13617.743183924473</v>
      </c>
    </row>
    <row r="124" spans="1:16" ht="12.75">
      <c r="A124" s="223">
        <f t="shared" si="20"/>
        <v>68</v>
      </c>
      <c r="B124" s="224">
        <f t="shared" si="21"/>
        <v>936611.3261601249</v>
      </c>
      <c r="C124" s="224">
        <f t="shared" si="22"/>
        <v>5105.503276905599</v>
      </c>
      <c r="D124" s="235">
        <f t="shared" si="15"/>
        <v>7563.136458743008</v>
      </c>
      <c r="E124" s="224">
        <f t="shared" si="16"/>
        <v>12668.639735648607</v>
      </c>
      <c r="F124" s="224">
        <f t="shared" si="23"/>
        <v>306</v>
      </c>
      <c r="G124" s="224">
        <f t="shared" si="24"/>
        <v>456</v>
      </c>
      <c r="H124" s="224">
        <f t="shared" si="25"/>
        <v>290</v>
      </c>
      <c r="I124" s="224">
        <f t="shared" si="17"/>
        <v>13720.639735648607</v>
      </c>
      <c r="J124" s="236"/>
      <c r="K124" s="228"/>
      <c r="L124" s="238">
        <f t="shared" si="18"/>
        <v>931505.8228832192</v>
      </c>
      <c r="M124" s="239">
        <f t="shared" si="19"/>
        <v>762</v>
      </c>
      <c r="N124" s="240">
        <f t="shared" si="27"/>
        <v>0.0969</v>
      </c>
      <c r="O124" s="85">
        <f t="shared" si="28"/>
        <v>393.1034482758621</v>
      </c>
      <c r="P124" s="85">
        <f t="shared" si="26"/>
        <v>13617.74318392447</v>
      </c>
    </row>
    <row r="125" spans="1:16" ht="12.75">
      <c r="A125" s="223">
        <f t="shared" si="20"/>
        <v>69</v>
      </c>
      <c r="B125" s="224">
        <f t="shared" si="21"/>
        <v>931505.8228832192</v>
      </c>
      <c r="C125" s="224">
        <f t="shared" si="22"/>
        <v>5146.730215866608</v>
      </c>
      <c r="D125" s="235">
        <f t="shared" si="15"/>
        <v>7521.909519781995</v>
      </c>
      <c r="E125" s="224">
        <f t="shared" si="16"/>
        <v>12668.639735648603</v>
      </c>
      <c r="F125" s="224">
        <f t="shared" si="23"/>
        <v>306</v>
      </c>
      <c r="G125" s="224">
        <f t="shared" si="24"/>
        <v>456</v>
      </c>
      <c r="H125" s="224">
        <f t="shared" si="25"/>
        <v>290</v>
      </c>
      <c r="I125" s="224">
        <f t="shared" si="17"/>
        <v>13720.639735648603</v>
      </c>
      <c r="J125" s="236"/>
      <c r="K125" s="228"/>
      <c r="L125" s="238">
        <f t="shared" si="18"/>
        <v>926359.0926673526</v>
      </c>
      <c r="M125" s="239">
        <f t="shared" si="19"/>
        <v>762</v>
      </c>
      <c r="N125" s="240">
        <f t="shared" si="27"/>
        <v>0.0969</v>
      </c>
      <c r="O125" s="85">
        <f t="shared" si="28"/>
        <v>393.1034482758621</v>
      </c>
      <c r="P125" s="85">
        <f t="shared" si="26"/>
        <v>13617.743183924465</v>
      </c>
    </row>
    <row r="126" spans="1:16" ht="12.75">
      <c r="A126" s="223">
        <f t="shared" si="20"/>
        <v>70</v>
      </c>
      <c r="B126" s="224">
        <f t="shared" si="21"/>
        <v>926359.0926673526</v>
      </c>
      <c r="C126" s="224">
        <f t="shared" si="22"/>
        <v>5188.290062359735</v>
      </c>
      <c r="D126" s="235">
        <f t="shared" si="15"/>
        <v>7480.349673288873</v>
      </c>
      <c r="E126" s="224">
        <f t="shared" si="16"/>
        <v>12668.639735648609</v>
      </c>
      <c r="F126" s="224">
        <f t="shared" si="23"/>
        <v>306</v>
      </c>
      <c r="G126" s="224">
        <f t="shared" si="24"/>
        <v>456</v>
      </c>
      <c r="H126" s="224">
        <f t="shared" si="25"/>
        <v>290</v>
      </c>
      <c r="I126" s="224">
        <f t="shared" si="17"/>
        <v>13720.639735648609</v>
      </c>
      <c r="J126" s="236"/>
      <c r="K126" s="228"/>
      <c r="L126" s="238">
        <f t="shared" si="18"/>
        <v>921170.8026049929</v>
      </c>
      <c r="M126" s="239">
        <f t="shared" si="19"/>
        <v>762</v>
      </c>
      <c r="N126" s="240">
        <f t="shared" si="27"/>
        <v>0.0969</v>
      </c>
      <c r="O126" s="85">
        <f t="shared" si="28"/>
        <v>393.1034482758621</v>
      </c>
      <c r="P126" s="85">
        <f t="shared" si="26"/>
        <v>13617.743183924471</v>
      </c>
    </row>
    <row r="127" spans="1:16" ht="12.75">
      <c r="A127" s="223">
        <f t="shared" si="20"/>
        <v>71</v>
      </c>
      <c r="B127" s="224">
        <f t="shared" si="21"/>
        <v>921170.8026049929</v>
      </c>
      <c r="C127" s="224">
        <f t="shared" si="22"/>
        <v>5230.185504613286</v>
      </c>
      <c r="D127" s="235">
        <f t="shared" si="15"/>
        <v>7438.454231035317</v>
      </c>
      <c r="E127" s="224">
        <f t="shared" si="16"/>
        <v>12668.639735648603</v>
      </c>
      <c r="F127" s="224">
        <f t="shared" si="23"/>
        <v>306</v>
      </c>
      <c r="G127" s="224">
        <f t="shared" si="24"/>
        <v>456</v>
      </c>
      <c r="H127" s="224">
        <f t="shared" si="25"/>
        <v>290</v>
      </c>
      <c r="I127" s="224">
        <f t="shared" si="17"/>
        <v>13720.639735648603</v>
      </c>
      <c r="J127" s="236"/>
      <c r="K127" s="228"/>
      <c r="L127" s="238">
        <f t="shared" si="18"/>
        <v>915940.6171003795</v>
      </c>
      <c r="M127" s="239">
        <f t="shared" si="19"/>
        <v>762</v>
      </c>
      <c r="N127" s="240">
        <f t="shared" si="27"/>
        <v>0.0969</v>
      </c>
      <c r="O127" s="85">
        <f t="shared" si="28"/>
        <v>393.1034482758621</v>
      </c>
      <c r="P127" s="85">
        <f t="shared" si="26"/>
        <v>13617.743183924465</v>
      </c>
    </row>
    <row r="128" spans="1:16" ht="12.75">
      <c r="A128" s="223">
        <f t="shared" si="20"/>
        <v>72</v>
      </c>
      <c r="B128" s="224">
        <f t="shared" si="21"/>
        <v>915940.6171003795</v>
      </c>
      <c r="C128" s="224">
        <f t="shared" si="22"/>
        <v>5272.419252563038</v>
      </c>
      <c r="D128" s="235">
        <f t="shared" si="15"/>
        <v>7396.220483085565</v>
      </c>
      <c r="E128" s="224">
        <f t="shared" si="16"/>
        <v>12668.639735648603</v>
      </c>
      <c r="F128" s="224">
        <f t="shared" si="23"/>
        <v>306</v>
      </c>
      <c r="G128" s="224">
        <f t="shared" si="24"/>
        <v>456</v>
      </c>
      <c r="H128" s="224">
        <f t="shared" si="25"/>
        <v>290</v>
      </c>
      <c r="I128" s="224">
        <f t="shared" si="17"/>
        <v>13720.639735648603</v>
      </c>
      <c r="J128" s="236"/>
      <c r="K128" s="228"/>
      <c r="L128" s="238">
        <f t="shared" si="18"/>
        <v>910668.1978478165</v>
      </c>
      <c r="M128" s="239">
        <f t="shared" si="19"/>
        <v>762</v>
      </c>
      <c r="N128" s="240">
        <f t="shared" si="27"/>
        <v>0.0969</v>
      </c>
      <c r="O128" s="85">
        <f t="shared" si="28"/>
        <v>393.1034482758621</v>
      </c>
      <c r="P128" s="85">
        <f t="shared" si="26"/>
        <v>13617.743183924465</v>
      </c>
    </row>
    <row r="129" spans="1:16" ht="12.75">
      <c r="A129" s="223">
        <f t="shared" si="20"/>
        <v>73</v>
      </c>
      <c r="B129" s="224">
        <f t="shared" si="21"/>
        <v>910668.1978478165</v>
      </c>
      <c r="C129" s="224">
        <f t="shared" si="22"/>
        <v>5314.994038027483</v>
      </c>
      <c r="D129" s="235">
        <f t="shared" si="15"/>
        <v>7353.645697621118</v>
      </c>
      <c r="E129" s="224">
        <f t="shared" si="16"/>
        <v>12668.639735648601</v>
      </c>
      <c r="F129" s="224">
        <f t="shared" si="23"/>
        <v>306</v>
      </c>
      <c r="G129" s="224">
        <f t="shared" si="24"/>
        <v>456</v>
      </c>
      <c r="H129" s="224">
        <f t="shared" si="25"/>
        <v>290</v>
      </c>
      <c r="I129" s="224">
        <f t="shared" si="17"/>
        <v>13720.639735648601</v>
      </c>
      <c r="J129" s="236"/>
      <c r="K129" s="228"/>
      <c r="L129" s="238">
        <f t="shared" si="18"/>
        <v>905353.203809789</v>
      </c>
      <c r="M129" s="239">
        <f t="shared" si="19"/>
        <v>762</v>
      </c>
      <c r="N129" s="240">
        <f t="shared" si="27"/>
        <v>0.0969</v>
      </c>
      <c r="O129" s="85">
        <f t="shared" si="28"/>
        <v>393.1034482758621</v>
      </c>
      <c r="P129" s="85">
        <f t="shared" si="26"/>
        <v>13617.743183924464</v>
      </c>
    </row>
    <row r="130" spans="1:16" ht="12.75">
      <c r="A130" s="223">
        <f t="shared" si="20"/>
        <v>74</v>
      </c>
      <c r="B130" s="224">
        <f t="shared" si="21"/>
        <v>905353.203809789</v>
      </c>
      <c r="C130" s="224">
        <f t="shared" si="22"/>
        <v>5357.912614884556</v>
      </c>
      <c r="D130" s="235">
        <f t="shared" si="15"/>
        <v>7310.727120764047</v>
      </c>
      <c r="E130" s="224">
        <f t="shared" si="16"/>
        <v>12668.639735648603</v>
      </c>
      <c r="F130" s="224">
        <f t="shared" si="23"/>
        <v>306</v>
      </c>
      <c r="G130" s="224">
        <f t="shared" si="24"/>
        <v>456</v>
      </c>
      <c r="H130" s="224">
        <f t="shared" si="25"/>
        <v>290</v>
      </c>
      <c r="I130" s="224">
        <f t="shared" si="17"/>
        <v>13720.639735648603</v>
      </c>
      <c r="J130" s="236"/>
      <c r="K130" s="228"/>
      <c r="L130" s="238">
        <f t="shared" si="18"/>
        <v>899995.2911949045</v>
      </c>
      <c r="M130" s="239">
        <f t="shared" si="19"/>
        <v>762</v>
      </c>
      <c r="N130" s="240">
        <f t="shared" si="27"/>
        <v>0.0969</v>
      </c>
      <c r="O130" s="85">
        <f t="shared" si="28"/>
        <v>393.1034482758621</v>
      </c>
      <c r="P130" s="85">
        <f t="shared" si="26"/>
        <v>13617.743183924465</v>
      </c>
    </row>
    <row r="131" spans="1:16" ht="12.75">
      <c r="A131" s="223">
        <f t="shared" si="20"/>
        <v>75</v>
      </c>
      <c r="B131" s="224">
        <f t="shared" si="21"/>
        <v>899995.2911949045</v>
      </c>
      <c r="C131" s="224">
        <f t="shared" si="22"/>
        <v>5401.17775924975</v>
      </c>
      <c r="D131" s="235">
        <f t="shared" si="15"/>
        <v>7267.461976398853</v>
      </c>
      <c r="E131" s="224">
        <f t="shared" si="16"/>
        <v>12668.639735648603</v>
      </c>
      <c r="F131" s="224">
        <f t="shared" si="23"/>
        <v>306</v>
      </c>
      <c r="G131" s="224">
        <f t="shared" si="24"/>
        <v>456</v>
      </c>
      <c r="H131" s="224">
        <f t="shared" si="25"/>
        <v>290</v>
      </c>
      <c r="I131" s="224">
        <f t="shared" si="17"/>
        <v>13720.639735648603</v>
      </c>
      <c r="J131" s="236"/>
      <c r="K131" s="228"/>
      <c r="L131" s="238">
        <f t="shared" si="18"/>
        <v>894594.1134356548</v>
      </c>
      <c r="M131" s="239">
        <f t="shared" si="19"/>
        <v>762</v>
      </c>
      <c r="N131" s="240">
        <f t="shared" si="27"/>
        <v>0.0969</v>
      </c>
      <c r="O131" s="85">
        <f t="shared" si="28"/>
        <v>393.1034482758621</v>
      </c>
      <c r="P131" s="85">
        <f t="shared" si="26"/>
        <v>13617.743183924465</v>
      </c>
    </row>
    <row r="132" spans="1:16" ht="12.75">
      <c r="A132" s="223">
        <f t="shared" si="20"/>
        <v>76</v>
      </c>
      <c r="B132" s="224">
        <f t="shared" si="21"/>
        <v>894594.1134356548</v>
      </c>
      <c r="C132" s="224">
        <f t="shared" si="22"/>
        <v>5444.792269655694</v>
      </c>
      <c r="D132" s="235">
        <f t="shared" si="15"/>
        <v>7223.8474659929125</v>
      </c>
      <c r="E132" s="224">
        <f t="shared" si="16"/>
        <v>12668.639735648607</v>
      </c>
      <c r="F132" s="224">
        <f t="shared" si="23"/>
        <v>306</v>
      </c>
      <c r="G132" s="224">
        <f t="shared" si="24"/>
        <v>456</v>
      </c>
      <c r="H132" s="224">
        <f t="shared" si="25"/>
        <v>290</v>
      </c>
      <c r="I132" s="224">
        <f t="shared" si="17"/>
        <v>13720.639735648607</v>
      </c>
      <c r="J132" s="236"/>
      <c r="K132" s="228"/>
      <c r="L132" s="238">
        <f t="shared" si="18"/>
        <v>889149.321165999</v>
      </c>
      <c r="M132" s="239">
        <f t="shared" si="19"/>
        <v>762</v>
      </c>
      <c r="N132" s="240">
        <f t="shared" si="27"/>
        <v>0.0969</v>
      </c>
      <c r="O132" s="85">
        <f t="shared" si="28"/>
        <v>393.1034482758621</v>
      </c>
      <c r="P132" s="85">
        <f t="shared" si="26"/>
        <v>13617.74318392447</v>
      </c>
    </row>
    <row r="133" spans="1:16" ht="12.75">
      <c r="A133" s="223">
        <f t="shared" si="20"/>
        <v>77</v>
      </c>
      <c r="B133" s="224">
        <f t="shared" si="21"/>
        <v>889149.321165999</v>
      </c>
      <c r="C133" s="224">
        <f t="shared" si="22"/>
        <v>5488.758967233161</v>
      </c>
      <c r="D133" s="235">
        <f t="shared" si="15"/>
        <v>7179.880768415443</v>
      </c>
      <c r="E133" s="224">
        <f t="shared" si="16"/>
        <v>12668.639735648603</v>
      </c>
      <c r="F133" s="224">
        <f t="shared" si="23"/>
        <v>306</v>
      </c>
      <c r="G133" s="224">
        <f t="shared" si="24"/>
        <v>456</v>
      </c>
      <c r="H133" s="224">
        <f t="shared" si="25"/>
        <v>290</v>
      </c>
      <c r="I133" s="224">
        <f t="shared" si="17"/>
        <v>13720.639735648603</v>
      </c>
      <c r="J133" s="236"/>
      <c r="K133" s="228"/>
      <c r="L133" s="238">
        <f t="shared" si="18"/>
        <v>883660.5621987659</v>
      </c>
      <c r="M133" s="239">
        <f t="shared" si="19"/>
        <v>762</v>
      </c>
      <c r="N133" s="240">
        <f t="shared" si="27"/>
        <v>0.0969</v>
      </c>
      <c r="O133" s="85">
        <f t="shared" si="28"/>
        <v>393.1034482758621</v>
      </c>
      <c r="P133" s="85">
        <f t="shared" si="26"/>
        <v>13617.743183924465</v>
      </c>
    </row>
    <row r="134" spans="1:16" ht="12.75">
      <c r="A134" s="223">
        <f t="shared" si="20"/>
        <v>78</v>
      </c>
      <c r="B134" s="224">
        <f t="shared" si="21"/>
        <v>883660.5621987659</v>
      </c>
      <c r="C134" s="224">
        <f t="shared" si="22"/>
        <v>5533.080695893569</v>
      </c>
      <c r="D134" s="235">
        <f t="shared" si="15"/>
        <v>7135.559039755034</v>
      </c>
      <c r="E134" s="224">
        <f t="shared" si="16"/>
        <v>12668.639735648603</v>
      </c>
      <c r="F134" s="224">
        <f t="shared" si="23"/>
        <v>306</v>
      </c>
      <c r="G134" s="224">
        <f t="shared" si="24"/>
        <v>456</v>
      </c>
      <c r="H134" s="224">
        <f t="shared" si="25"/>
        <v>290</v>
      </c>
      <c r="I134" s="224">
        <f t="shared" si="17"/>
        <v>13720.639735648603</v>
      </c>
      <c r="J134" s="236"/>
      <c r="K134" s="228"/>
      <c r="L134" s="238">
        <f t="shared" si="18"/>
        <v>878127.4815028723</v>
      </c>
      <c r="M134" s="239">
        <f t="shared" si="19"/>
        <v>762</v>
      </c>
      <c r="N134" s="240">
        <f t="shared" si="27"/>
        <v>0.0969</v>
      </c>
      <c r="O134" s="85">
        <f t="shared" si="28"/>
        <v>393.1034482758621</v>
      </c>
      <c r="P134" s="85">
        <f t="shared" si="26"/>
        <v>13617.743183924465</v>
      </c>
    </row>
    <row r="135" spans="1:16" ht="12.75">
      <c r="A135" s="223">
        <f t="shared" si="20"/>
        <v>79</v>
      </c>
      <c r="B135" s="224">
        <f t="shared" si="21"/>
        <v>878127.4815028723</v>
      </c>
      <c r="C135" s="224">
        <f t="shared" si="22"/>
        <v>5577.760322512909</v>
      </c>
      <c r="D135" s="235">
        <f t="shared" si="15"/>
        <v>7090.879413135694</v>
      </c>
      <c r="E135" s="224">
        <f t="shared" si="16"/>
        <v>12668.639735648603</v>
      </c>
      <c r="F135" s="224">
        <f t="shared" si="23"/>
        <v>306</v>
      </c>
      <c r="G135" s="224">
        <f t="shared" si="24"/>
        <v>456</v>
      </c>
      <c r="H135" s="224">
        <f t="shared" si="25"/>
        <v>290</v>
      </c>
      <c r="I135" s="224">
        <f t="shared" si="17"/>
        <v>13720.639735648603</v>
      </c>
      <c r="J135" s="236"/>
      <c r="K135" s="228"/>
      <c r="L135" s="238">
        <f t="shared" si="18"/>
        <v>872549.7211803594</v>
      </c>
      <c r="M135" s="239">
        <f t="shared" si="19"/>
        <v>762</v>
      </c>
      <c r="N135" s="240">
        <f t="shared" si="27"/>
        <v>0.0969</v>
      </c>
      <c r="O135" s="85">
        <f t="shared" si="28"/>
        <v>393.1034482758621</v>
      </c>
      <c r="P135" s="85">
        <f t="shared" si="26"/>
        <v>13617.743183924465</v>
      </c>
    </row>
    <row r="136" spans="1:16" ht="12.75">
      <c r="A136" s="223">
        <f t="shared" si="20"/>
        <v>80</v>
      </c>
      <c r="B136" s="224">
        <f t="shared" si="21"/>
        <v>872549.7211803594</v>
      </c>
      <c r="C136" s="224">
        <f t="shared" si="22"/>
        <v>5622.800737117204</v>
      </c>
      <c r="D136" s="235">
        <f t="shared" si="15"/>
        <v>7045.8389985314025</v>
      </c>
      <c r="E136" s="224">
        <f t="shared" si="16"/>
        <v>12668.639735648607</v>
      </c>
      <c r="F136" s="224">
        <f t="shared" si="23"/>
        <v>306</v>
      </c>
      <c r="G136" s="224">
        <f t="shared" si="24"/>
        <v>456</v>
      </c>
      <c r="H136" s="224">
        <f t="shared" si="25"/>
        <v>290</v>
      </c>
      <c r="I136" s="224">
        <f t="shared" si="17"/>
        <v>13720.639735648607</v>
      </c>
      <c r="J136" s="236"/>
      <c r="K136" s="228"/>
      <c r="L136" s="238">
        <f t="shared" si="18"/>
        <v>866926.9204432422</v>
      </c>
      <c r="M136" s="239">
        <f t="shared" si="19"/>
        <v>762</v>
      </c>
      <c r="N136" s="240">
        <f t="shared" si="27"/>
        <v>0.0969</v>
      </c>
      <c r="O136" s="85">
        <f t="shared" si="28"/>
        <v>393.1034482758621</v>
      </c>
      <c r="P136" s="85">
        <f t="shared" si="26"/>
        <v>13617.74318392447</v>
      </c>
    </row>
    <row r="137" spans="1:16" ht="12.75">
      <c r="A137" s="223">
        <f t="shared" si="20"/>
        <v>81</v>
      </c>
      <c r="B137" s="224">
        <f t="shared" si="21"/>
        <v>866926.9204432422</v>
      </c>
      <c r="C137" s="224">
        <f t="shared" si="22"/>
        <v>5668.204853069426</v>
      </c>
      <c r="D137" s="235">
        <f t="shared" si="15"/>
        <v>7000.434882579181</v>
      </c>
      <c r="E137" s="224">
        <f t="shared" si="16"/>
        <v>12668.639735648607</v>
      </c>
      <c r="F137" s="224">
        <f t="shared" si="23"/>
        <v>306</v>
      </c>
      <c r="G137" s="224">
        <f t="shared" si="24"/>
        <v>456</v>
      </c>
      <c r="H137" s="224">
        <f t="shared" si="25"/>
        <v>290</v>
      </c>
      <c r="I137" s="224">
        <f t="shared" si="17"/>
        <v>13720.639735648607</v>
      </c>
      <c r="J137" s="236"/>
      <c r="K137" s="228"/>
      <c r="L137" s="238">
        <f t="shared" si="18"/>
        <v>861258.7155901728</v>
      </c>
      <c r="M137" s="239">
        <f t="shared" si="19"/>
        <v>762</v>
      </c>
      <c r="N137" s="240">
        <f t="shared" si="27"/>
        <v>0.0969</v>
      </c>
      <c r="O137" s="85">
        <f t="shared" si="28"/>
        <v>393.1034482758621</v>
      </c>
      <c r="P137" s="85">
        <f t="shared" si="26"/>
        <v>13617.74318392447</v>
      </c>
    </row>
    <row r="138" spans="1:16" ht="12.75">
      <c r="A138" s="223">
        <f t="shared" si="20"/>
        <v>82</v>
      </c>
      <c r="B138" s="224">
        <f t="shared" si="21"/>
        <v>861258.7155901728</v>
      </c>
      <c r="C138" s="224">
        <f t="shared" si="22"/>
        <v>5713.975607257958</v>
      </c>
      <c r="D138" s="235">
        <f t="shared" si="15"/>
        <v>6954.664128390646</v>
      </c>
      <c r="E138" s="224">
        <f t="shared" si="16"/>
        <v>12668.639735648603</v>
      </c>
      <c r="F138" s="224">
        <f t="shared" si="23"/>
        <v>306</v>
      </c>
      <c r="G138" s="224">
        <f t="shared" si="24"/>
        <v>456</v>
      </c>
      <c r="H138" s="224">
        <f t="shared" si="25"/>
        <v>290</v>
      </c>
      <c r="I138" s="224">
        <f t="shared" si="17"/>
        <v>13720.639735648603</v>
      </c>
      <c r="J138" s="236"/>
      <c r="K138" s="228"/>
      <c r="L138" s="238">
        <f t="shared" si="18"/>
        <v>855544.7399829149</v>
      </c>
      <c r="M138" s="239">
        <f t="shared" si="19"/>
        <v>762</v>
      </c>
      <c r="N138" s="240">
        <f t="shared" si="27"/>
        <v>0.0969</v>
      </c>
      <c r="O138" s="85">
        <f t="shared" si="28"/>
        <v>393.1034482758621</v>
      </c>
      <c r="P138" s="85">
        <f t="shared" si="26"/>
        <v>13617.743183924465</v>
      </c>
    </row>
    <row r="139" spans="1:16" ht="12.75">
      <c r="A139" s="223">
        <f t="shared" si="20"/>
        <v>83</v>
      </c>
      <c r="B139" s="224">
        <f t="shared" si="21"/>
        <v>855544.7399829149</v>
      </c>
      <c r="C139" s="224">
        <f t="shared" si="22"/>
        <v>5760.115960286569</v>
      </c>
      <c r="D139" s="235">
        <f t="shared" si="15"/>
        <v>6908.523775362038</v>
      </c>
      <c r="E139" s="224">
        <f t="shared" si="16"/>
        <v>12668.639735648607</v>
      </c>
      <c r="F139" s="224">
        <f t="shared" si="23"/>
        <v>306</v>
      </c>
      <c r="G139" s="224">
        <f t="shared" si="24"/>
        <v>456</v>
      </c>
      <c r="H139" s="224">
        <f t="shared" si="25"/>
        <v>290</v>
      </c>
      <c r="I139" s="224">
        <f t="shared" si="17"/>
        <v>13720.639735648607</v>
      </c>
      <c r="J139" s="236"/>
      <c r="K139" s="228"/>
      <c r="L139" s="238">
        <f t="shared" si="18"/>
        <v>849784.6240226283</v>
      </c>
      <c r="M139" s="239">
        <f t="shared" si="19"/>
        <v>762</v>
      </c>
      <c r="N139" s="240">
        <f t="shared" si="27"/>
        <v>0.0969</v>
      </c>
      <c r="O139" s="85">
        <f t="shared" si="28"/>
        <v>393.1034482758621</v>
      </c>
      <c r="P139" s="85">
        <f t="shared" si="26"/>
        <v>13617.74318392447</v>
      </c>
    </row>
    <row r="140" spans="1:16" ht="12.75">
      <c r="A140" s="223">
        <f t="shared" si="20"/>
        <v>84</v>
      </c>
      <c r="B140" s="224">
        <f t="shared" si="21"/>
        <v>849784.6240226283</v>
      </c>
      <c r="C140" s="224">
        <f t="shared" si="22"/>
        <v>5806.628896665884</v>
      </c>
      <c r="D140" s="235">
        <f t="shared" si="15"/>
        <v>6862.010838982723</v>
      </c>
      <c r="E140" s="224">
        <f t="shared" si="16"/>
        <v>12668.639735648607</v>
      </c>
      <c r="F140" s="224">
        <f t="shared" si="23"/>
        <v>306</v>
      </c>
      <c r="G140" s="224">
        <f t="shared" si="24"/>
        <v>456</v>
      </c>
      <c r="H140" s="224">
        <f t="shared" si="25"/>
        <v>290</v>
      </c>
      <c r="I140" s="224">
        <f t="shared" si="17"/>
        <v>13720.639735648607</v>
      </c>
      <c r="J140" s="236"/>
      <c r="K140" s="228"/>
      <c r="L140" s="238">
        <f t="shared" si="18"/>
        <v>843977.9951259624</v>
      </c>
      <c r="M140" s="239">
        <f t="shared" si="19"/>
        <v>762</v>
      </c>
      <c r="N140" s="240">
        <f t="shared" si="27"/>
        <v>0.0969</v>
      </c>
      <c r="O140" s="85">
        <f t="shared" si="28"/>
        <v>393.1034482758621</v>
      </c>
      <c r="P140" s="85">
        <f t="shared" si="26"/>
        <v>13617.74318392447</v>
      </c>
    </row>
    <row r="141" spans="1:16" ht="12.75">
      <c r="A141" s="223">
        <f t="shared" si="20"/>
        <v>85</v>
      </c>
      <c r="B141" s="224">
        <f t="shared" si="21"/>
        <v>843977.9951259624</v>
      </c>
      <c r="C141" s="224">
        <f t="shared" si="22"/>
        <v>5853.51742500646</v>
      </c>
      <c r="D141" s="235">
        <f t="shared" si="15"/>
        <v>6815.122310642147</v>
      </c>
      <c r="E141" s="224">
        <f t="shared" si="16"/>
        <v>12668.639735648607</v>
      </c>
      <c r="F141" s="224">
        <f t="shared" si="23"/>
        <v>306</v>
      </c>
      <c r="G141" s="224">
        <f t="shared" si="24"/>
        <v>456</v>
      </c>
      <c r="H141" s="224">
        <f t="shared" si="25"/>
        <v>290</v>
      </c>
      <c r="I141" s="224">
        <f t="shared" si="17"/>
        <v>13720.639735648607</v>
      </c>
      <c r="J141" s="236"/>
      <c r="K141" s="228"/>
      <c r="L141" s="238">
        <f t="shared" si="18"/>
        <v>838124.4777009559</v>
      </c>
      <c r="M141" s="239">
        <f t="shared" si="19"/>
        <v>762</v>
      </c>
      <c r="N141" s="240">
        <f t="shared" si="27"/>
        <v>0.0969</v>
      </c>
      <c r="O141" s="85">
        <f t="shared" si="28"/>
        <v>393.1034482758621</v>
      </c>
      <c r="P141" s="85">
        <f t="shared" si="26"/>
        <v>13617.74318392447</v>
      </c>
    </row>
    <row r="142" spans="1:16" ht="12.75">
      <c r="A142" s="223">
        <f t="shared" si="20"/>
        <v>86</v>
      </c>
      <c r="B142" s="224">
        <f t="shared" si="21"/>
        <v>838124.4777009559</v>
      </c>
      <c r="C142" s="224">
        <f t="shared" si="22"/>
        <v>5900.784578213389</v>
      </c>
      <c r="D142" s="235">
        <f t="shared" si="15"/>
        <v>6767.85515743522</v>
      </c>
      <c r="E142" s="224">
        <f t="shared" si="16"/>
        <v>12668.639735648609</v>
      </c>
      <c r="F142" s="224">
        <f t="shared" si="23"/>
        <v>306</v>
      </c>
      <c r="G142" s="224">
        <f t="shared" si="24"/>
        <v>456</v>
      </c>
      <c r="H142" s="224">
        <f t="shared" si="25"/>
        <v>290</v>
      </c>
      <c r="I142" s="224">
        <f t="shared" si="17"/>
        <v>13720.639735648609</v>
      </c>
      <c r="J142" s="236"/>
      <c r="K142" s="228"/>
      <c r="L142" s="238">
        <f t="shared" si="18"/>
        <v>832223.6931227426</v>
      </c>
      <c r="M142" s="239">
        <f t="shared" si="19"/>
        <v>762</v>
      </c>
      <c r="N142" s="240">
        <f t="shared" si="27"/>
        <v>0.0969</v>
      </c>
      <c r="O142" s="85">
        <f t="shared" si="28"/>
        <v>393.1034482758621</v>
      </c>
      <c r="P142" s="85">
        <f t="shared" si="26"/>
        <v>13617.743183924471</v>
      </c>
    </row>
    <row r="143" spans="1:16" ht="12.75">
      <c r="A143" s="223">
        <f t="shared" si="20"/>
        <v>87</v>
      </c>
      <c r="B143" s="224">
        <f t="shared" si="21"/>
        <v>832223.6931227426</v>
      </c>
      <c r="C143" s="224">
        <f t="shared" si="22"/>
        <v>5948.43341368246</v>
      </c>
      <c r="D143" s="235">
        <f t="shared" si="15"/>
        <v>6720.206321966147</v>
      </c>
      <c r="E143" s="224">
        <f t="shared" si="16"/>
        <v>12668.639735648607</v>
      </c>
      <c r="F143" s="224">
        <f t="shared" si="23"/>
        <v>306</v>
      </c>
      <c r="G143" s="224">
        <f t="shared" si="24"/>
        <v>456</v>
      </c>
      <c r="H143" s="224">
        <f t="shared" si="25"/>
        <v>290</v>
      </c>
      <c r="I143" s="224">
        <f t="shared" si="17"/>
        <v>13720.639735648607</v>
      </c>
      <c r="J143" s="236"/>
      <c r="K143" s="228"/>
      <c r="L143" s="238">
        <f t="shared" si="18"/>
        <v>826275.2597090601</v>
      </c>
      <c r="M143" s="239">
        <f t="shared" si="19"/>
        <v>762</v>
      </c>
      <c r="N143" s="240">
        <f t="shared" si="27"/>
        <v>0.0969</v>
      </c>
      <c r="O143" s="85">
        <f t="shared" si="28"/>
        <v>393.1034482758621</v>
      </c>
      <c r="P143" s="85">
        <f t="shared" si="26"/>
        <v>13617.74318392447</v>
      </c>
    </row>
    <row r="144" spans="1:16" ht="12.75">
      <c r="A144" s="223">
        <f t="shared" si="20"/>
        <v>88</v>
      </c>
      <c r="B144" s="224">
        <f t="shared" si="21"/>
        <v>826275.2597090601</v>
      </c>
      <c r="C144" s="224">
        <f t="shared" si="22"/>
        <v>5996.467013497943</v>
      </c>
      <c r="D144" s="235">
        <f t="shared" si="15"/>
        <v>6672.17272215066</v>
      </c>
      <c r="E144" s="224">
        <f t="shared" si="16"/>
        <v>12668.639735648603</v>
      </c>
      <c r="F144" s="224">
        <f t="shared" si="23"/>
        <v>306</v>
      </c>
      <c r="G144" s="224">
        <f t="shared" si="24"/>
        <v>456</v>
      </c>
      <c r="H144" s="224">
        <f t="shared" si="25"/>
        <v>290</v>
      </c>
      <c r="I144" s="224">
        <f t="shared" si="17"/>
        <v>13720.639735648603</v>
      </c>
      <c r="J144" s="236"/>
      <c r="K144" s="228"/>
      <c r="L144" s="238">
        <f t="shared" si="18"/>
        <v>820278.7926955621</v>
      </c>
      <c r="M144" s="239">
        <f t="shared" si="19"/>
        <v>762</v>
      </c>
      <c r="N144" s="240">
        <f t="shared" si="27"/>
        <v>0.0969</v>
      </c>
      <c r="O144" s="85">
        <f t="shared" si="28"/>
        <v>393.1034482758621</v>
      </c>
      <c r="P144" s="85">
        <f t="shared" si="26"/>
        <v>13617.743183924465</v>
      </c>
    </row>
    <row r="145" spans="1:16" ht="12.75">
      <c r="A145" s="223">
        <f t="shared" si="20"/>
        <v>89</v>
      </c>
      <c r="B145" s="224">
        <f t="shared" si="21"/>
        <v>820278.7926955621</v>
      </c>
      <c r="C145" s="224">
        <f t="shared" si="22"/>
        <v>6044.888484631942</v>
      </c>
      <c r="D145" s="235">
        <f t="shared" si="15"/>
        <v>6623.751251016664</v>
      </c>
      <c r="E145" s="224">
        <f t="shared" si="16"/>
        <v>12668.639735648607</v>
      </c>
      <c r="F145" s="224">
        <f t="shared" si="23"/>
        <v>306</v>
      </c>
      <c r="G145" s="224">
        <f t="shared" si="24"/>
        <v>456</v>
      </c>
      <c r="H145" s="224">
        <f t="shared" si="25"/>
        <v>290</v>
      </c>
      <c r="I145" s="224">
        <f t="shared" si="17"/>
        <v>13720.639735648607</v>
      </c>
      <c r="J145" s="236"/>
      <c r="K145" s="228"/>
      <c r="L145" s="238">
        <f t="shared" si="18"/>
        <v>814233.9042109302</v>
      </c>
      <c r="M145" s="239">
        <f t="shared" si="19"/>
        <v>762</v>
      </c>
      <c r="N145" s="240">
        <f t="shared" si="27"/>
        <v>0.0969</v>
      </c>
      <c r="O145" s="85">
        <f t="shared" si="28"/>
        <v>393.1034482758621</v>
      </c>
      <c r="P145" s="85">
        <f t="shared" si="26"/>
        <v>13617.74318392447</v>
      </c>
    </row>
    <row r="146" spans="1:16" ht="12.75">
      <c r="A146" s="223">
        <f t="shared" si="20"/>
        <v>90</v>
      </c>
      <c r="B146" s="224">
        <f t="shared" si="21"/>
        <v>814233.9042109302</v>
      </c>
      <c r="C146" s="224">
        <f t="shared" si="22"/>
        <v>6093.700959145345</v>
      </c>
      <c r="D146" s="235">
        <f t="shared" si="15"/>
        <v>6574.938776503262</v>
      </c>
      <c r="E146" s="224">
        <f t="shared" si="16"/>
        <v>12668.639735648607</v>
      </c>
      <c r="F146" s="224">
        <f t="shared" si="23"/>
        <v>306</v>
      </c>
      <c r="G146" s="224">
        <f t="shared" si="24"/>
        <v>456</v>
      </c>
      <c r="H146" s="224">
        <f t="shared" si="25"/>
        <v>290</v>
      </c>
      <c r="I146" s="224">
        <f t="shared" si="17"/>
        <v>13720.639735648607</v>
      </c>
      <c r="J146" s="236"/>
      <c r="K146" s="228"/>
      <c r="L146" s="238">
        <f t="shared" si="18"/>
        <v>808140.2032517849</v>
      </c>
      <c r="M146" s="239">
        <f t="shared" si="19"/>
        <v>762</v>
      </c>
      <c r="N146" s="240">
        <f t="shared" si="27"/>
        <v>0.0969</v>
      </c>
      <c r="O146" s="85">
        <f t="shared" si="28"/>
        <v>393.1034482758621</v>
      </c>
      <c r="P146" s="85">
        <f t="shared" si="26"/>
        <v>13617.74318392447</v>
      </c>
    </row>
    <row r="147" spans="1:16" ht="12.75">
      <c r="A147" s="223">
        <f t="shared" si="20"/>
        <v>91</v>
      </c>
      <c r="B147" s="224">
        <f t="shared" si="21"/>
        <v>808140.2032517849</v>
      </c>
      <c r="C147" s="224">
        <f t="shared" si="22"/>
        <v>6142.907594390444</v>
      </c>
      <c r="D147" s="235">
        <f t="shared" si="15"/>
        <v>6525.732141258163</v>
      </c>
      <c r="E147" s="224">
        <f t="shared" si="16"/>
        <v>12668.639735648607</v>
      </c>
      <c r="F147" s="224">
        <f t="shared" si="23"/>
        <v>306</v>
      </c>
      <c r="G147" s="224">
        <f t="shared" si="24"/>
        <v>456</v>
      </c>
      <c r="H147" s="224">
        <f t="shared" si="25"/>
        <v>290</v>
      </c>
      <c r="I147" s="224">
        <f t="shared" si="17"/>
        <v>13720.639735648607</v>
      </c>
      <c r="J147" s="236"/>
      <c r="K147" s="228"/>
      <c r="L147" s="238">
        <f t="shared" si="18"/>
        <v>801997.2956573945</v>
      </c>
      <c r="M147" s="239">
        <f t="shared" si="19"/>
        <v>762</v>
      </c>
      <c r="N147" s="240">
        <f t="shared" si="27"/>
        <v>0.0969</v>
      </c>
      <c r="O147" s="85">
        <f t="shared" si="28"/>
        <v>393.1034482758621</v>
      </c>
      <c r="P147" s="85">
        <f t="shared" si="26"/>
        <v>13617.74318392447</v>
      </c>
    </row>
    <row r="148" spans="1:16" ht="12.75">
      <c r="A148" s="223">
        <f t="shared" si="20"/>
        <v>92</v>
      </c>
      <c r="B148" s="224">
        <f t="shared" si="21"/>
        <v>801997.2956573945</v>
      </c>
      <c r="C148" s="224">
        <f t="shared" si="22"/>
        <v>6192.511573215147</v>
      </c>
      <c r="D148" s="235">
        <f t="shared" si="15"/>
        <v>6476.12816243346</v>
      </c>
      <c r="E148" s="224">
        <f t="shared" si="16"/>
        <v>12668.639735648607</v>
      </c>
      <c r="F148" s="224">
        <f t="shared" si="23"/>
        <v>306</v>
      </c>
      <c r="G148" s="224">
        <f t="shared" si="24"/>
        <v>456</v>
      </c>
      <c r="H148" s="224">
        <f t="shared" si="25"/>
        <v>290</v>
      </c>
      <c r="I148" s="224">
        <f t="shared" si="17"/>
        <v>13720.639735648607</v>
      </c>
      <c r="J148" s="236"/>
      <c r="K148" s="228"/>
      <c r="L148" s="238">
        <f t="shared" si="18"/>
        <v>795804.7840841793</v>
      </c>
      <c r="M148" s="239">
        <f t="shared" si="19"/>
        <v>762</v>
      </c>
      <c r="N148" s="240">
        <f t="shared" si="27"/>
        <v>0.0969</v>
      </c>
      <c r="O148" s="85">
        <f t="shared" si="28"/>
        <v>393.1034482758621</v>
      </c>
      <c r="P148" s="85">
        <f t="shared" si="26"/>
        <v>13617.74318392447</v>
      </c>
    </row>
    <row r="149" spans="1:16" ht="12.75">
      <c r="A149" s="223">
        <f t="shared" si="20"/>
        <v>93</v>
      </c>
      <c r="B149" s="224">
        <f t="shared" si="21"/>
        <v>795804.7840841793</v>
      </c>
      <c r="C149" s="224">
        <f t="shared" si="22"/>
        <v>6242.516104168858</v>
      </c>
      <c r="D149" s="235">
        <f t="shared" si="15"/>
        <v>6426.123631479749</v>
      </c>
      <c r="E149" s="224">
        <f t="shared" si="16"/>
        <v>12668.639735648607</v>
      </c>
      <c r="F149" s="224">
        <f t="shared" si="23"/>
        <v>306</v>
      </c>
      <c r="G149" s="224">
        <f t="shared" si="24"/>
        <v>456</v>
      </c>
      <c r="H149" s="224">
        <f t="shared" si="25"/>
        <v>290</v>
      </c>
      <c r="I149" s="224">
        <f t="shared" si="17"/>
        <v>13720.639735648607</v>
      </c>
      <c r="J149" s="236"/>
      <c r="K149" s="228"/>
      <c r="L149" s="238">
        <f t="shared" si="18"/>
        <v>789562.2679800105</v>
      </c>
      <c r="M149" s="239">
        <f t="shared" si="19"/>
        <v>762</v>
      </c>
      <c r="N149" s="240">
        <f t="shared" si="27"/>
        <v>0.0969</v>
      </c>
      <c r="O149" s="85">
        <f t="shared" si="28"/>
        <v>393.1034482758621</v>
      </c>
      <c r="P149" s="85">
        <f t="shared" si="26"/>
        <v>13617.74318392447</v>
      </c>
    </row>
    <row r="150" spans="1:16" ht="12.75">
      <c r="A150" s="223">
        <f t="shared" si="20"/>
        <v>94</v>
      </c>
      <c r="B150" s="224">
        <f t="shared" si="21"/>
        <v>789562.2679800105</v>
      </c>
      <c r="C150" s="224">
        <f t="shared" si="22"/>
        <v>6292.924421710022</v>
      </c>
      <c r="D150" s="235">
        <f t="shared" si="15"/>
        <v>6375.715313938585</v>
      </c>
      <c r="E150" s="224">
        <f t="shared" si="16"/>
        <v>12668.639735648607</v>
      </c>
      <c r="F150" s="224">
        <f t="shared" si="23"/>
        <v>306</v>
      </c>
      <c r="G150" s="224">
        <f t="shared" si="24"/>
        <v>456</v>
      </c>
      <c r="H150" s="224">
        <f t="shared" si="25"/>
        <v>290</v>
      </c>
      <c r="I150" s="224">
        <f t="shared" si="17"/>
        <v>13720.639735648607</v>
      </c>
      <c r="J150" s="236"/>
      <c r="K150" s="228"/>
      <c r="L150" s="238">
        <f t="shared" si="18"/>
        <v>783269.3435583004</v>
      </c>
      <c r="M150" s="239">
        <f t="shared" si="19"/>
        <v>762</v>
      </c>
      <c r="N150" s="240">
        <f t="shared" si="27"/>
        <v>0.0969</v>
      </c>
      <c r="O150" s="85">
        <f t="shared" si="28"/>
        <v>393.1034482758621</v>
      </c>
      <c r="P150" s="85">
        <f t="shared" si="26"/>
        <v>13617.74318392447</v>
      </c>
    </row>
    <row r="151" spans="1:16" ht="12.75">
      <c r="A151" s="223">
        <f t="shared" si="20"/>
        <v>95</v>
      </c>
      <c r="B151" s="224">
        <f t="shared" si="21"/>
        <v>783269.3435583004</v>
      </c>
      <c r="C151" s="224">
        <f t="shared" si="22"/>
        <v>6343.739786415331</v>
      </c>
      <c r="D151" s="235">
        <f t="shared" si="15"/>
        <v>6324.899949233276</v>
      </c>
      <c r="E151" s="224">
        <f t="shared" si="16"/>
        <v>12668.639735648607</v>
      </c>
      <c r="F151" s="224">
        <f t="shared" si="23"/>
        <v>306</v>
      </c>
      <c r="G151" s="224">
        <f t="shared" si="24"/>
        <v>456</v>
      </c>
      <c r="H151" s="224">
        <f t="shared" si="25"/>
        <v>290</v>
      </c>
      <c r="I151" s="224">
        <f t="shared" si="17"/>
        <v>13720.639735648607</v>
      </c>
      <c r="J151" s="236"/>
      <c r="K151" s="228"/>
      <c r="L151" s="238">
        <f t="shared" si="18"/>
        <v>776925.603771885</v>
      </c>
      <c r="M151" s="239">
        <f t="shared" si="19"/>
        <v>762</v>
      </c>
      <c r="N151" s="240">
        <f t="shared" si="27"/>
        <v>0.0969</v>
      </c>
      <c r="O151" s="85">
        <f t="shared" si="28"/>
        <v>393.1034482758621</v>
      </c>
      <c r="P151" s="85">
        <f t="shared" si="26"/>
        <v>13617.74318392447</v>
      </c>
    </row>
    <row r="152" spans="1:16" ht="12.75">
      <c r="A152" s="223">
        <f t="shared" si="20"/>
        <v>96</v>
      </c>
      <c r="B152" s="224">
        <f t="shared" si="21"/>
        <v>776925.603771885</v>
      </c>
      <c r="C152" s="224">
        <f t="shared" si="22"/>
        <v>6394.965485190632</v>
      </c>
      <c r="D152" s="235">
        <f t="shared" si="15"/>
        <v>6273.6742504579715</v>
      </c>
      <c r="E152" s="224">
        <f t="shared" si="16"/>
        <v>12668.639735648603</v>
      </c>
      <c r="F152" s="224">
        <f t="shared" si="23"/>
        <v>306</v>
      </c>
      <c r="G152" s="224">
        <f t="shared" si="24"/>
        <v>456</v>
      </c>
      <c r="H152" s="224">
        <f t="shared" si="25"/>
        <v>290</v>
      </c>
      <c r="I152" s="224">
        <f t="shared" si="17"/>
        <v>13720.639735648603</v>
      </c>
      <c r="J152" s="236"/>
      <c r="K152" s="228"/>
      <c r="L152" s="238">
        <f t="shared" si="18"/>
        <v>770530.6382866944</v>
      </c>
      <c r="M152" s="239">
        <f t="shared" si="19"/>
        <v>762</v>
      </c>
      <c r="N152" s="240">
        <f t="shared" si="27"/>
        <v>0.0969</v>
      </c>
      <c r="O152" s="85">
        <f t="shared" si="28"/>
        <v>393.1034482758621</v>
      </c>
      <c r="P152" s="85">
        <f t="shared" si="26"/>
        <v>13617.743183924465</v>
      </c>
    </row>
    <row r="153" spans="1:16" ht="12.75">
      <c r="A153" s="223">
        <f t="shared" si="20"/>
        <v>97</v>
      </c>
      <c r="B153" s="224">
        <f t="shared" si="21"/>
        <v>770530.6382866944</v>
      </c>
      <c r="C153" s="224">
        <f t="shared" si="22"/>
        <v>6446.604831483549</v>
      </c>
      <c r="D153" s="235">
        <f t="shared" si="15"/>
        <v>6222.034904165058</v>
      </c>
      <c r="E153" s="224">
        <f t="shared" si="16"/>
        <v>12668.639735648607</v>
      </c>
      <c r="F153" s="224">
        <f t="shared" si="23"/>
        <v>306</v>
      </c>
      <c r="G153" s="224">
        <f t="shared" si="24"/>
        <v>456</v>
      </c>
      <c r="H153" s="224">
        <f t="shared" si="25"/>
        <v>290</v>
      </c>
      <c r="I153" s="224">
        <f t="shared" si="17"/>
        <v>13720.639735648607</v>
      </c>
      <c r="J153" s="236"/>
      <c r="K153" s="228"/>
      <c r="L153" s="238">
        <f t="shared" si="18"/>
        <v>764084.0334552109</v>
      </c>
      <c r="M153" s="239">
        <f t="shared" si="19"/>
        <v>762</v>
      </c>
      <c r="N153" s="240">
        <f t="shared" si="27"/>
        <v>0.0969</v>
      </c>
      <c r="O153" s="85">
        <f t="shared" si="28"/>
        <v>393.1034482758621</v>
      </c>
      <c r="P153" s="85">
        <f t="shared" si="26"/>
        <v>13617.74318392447</v>
      </c>
    </row>
    <row r="154" spans="1:16" ht="12.75">
      <c r="A154" s="223">
        <f t="shared" si="20"/>
        <v>98</v>
      </c>
      <c r="B154" s="224">
        <f t="shared" si="21"/>
        <v>764084.0334552109</v>
      </c>
      <c r="C154" s="224">
        <f t="shared" si="22"/>
        <v>6498.661165497776</v>
      </c>
      <c r="D154" s="235">
        <f t="shared" si="15"/>
        <v>6169.978570150827</v>
      </c>
      <c r="E154" s="224">
        <f t="shared" si="16"/>
        <v>12668.639735648603</v>
      </c>
      <c r="F154" s="224">
        <f t="shared" si="23"/>
        <v>306</v>
      </c>
      <c r="G154" s="224">
        <f t="shared" si="24"/>
        <v>456</v>
      </c>
      <c r="H154" s="224">
        <f t="shared" si="25"/>
        <v>290</v>
      </c>
      <c r="I154" s="224">
        <f t="shared" si="17"/>
        <v>13720.639735648603</v>
      </c>
      <c r="J154" s="236"/>
      <c r="K154" s="228"/>
      <c r="L154" s="238">
        <f t="shared" si="18"/>
        <v>757585.3722897131</v>
      </c>
      <c r="M154" s="239">
        <f t="shared" si="19"/>
        <v>762</v>
      </c>
      <c r="N154" s="240">
        <f t="shared" si="27"/>
        <v>0.0969</v>
      </c>
      <c r="O154" s="85">
        <f t="shared" si="28"/>
        <v>393.1034482758621</v>
      </c>
      <c r="P154" s="85">
        <f t="shared" si="26"/>
        <v>13617.743183924465</v>
      </c>
    </row>
    <row r="155" spans="1:16" ht="12.75">
      <c r="A155" s="223">
        <f t="shared" si="20"/>
        <v>99</v>
      </c>
      <c r="B155" s="224">
        <f t="shared" si="21"/>
        <v>757585.3722897131</v>
      </c>
      <c r="C155" s="224">
        <f t="shared" si="22"/>
        <v>6551.137854409175</v>
      </c>
      <c r="D155" s="235">
        <f t="shared" si="15"/>
        <v>6117.501881239434</v>
      </c>
      <c r="E155" s="224">
        <f t="shared" si="16"/>
        <v>12668.639735648609</v>
      </c>
      <c r="F155" s="224">
        <f t="shared" si="23"/>
        <v>306</v>
      </c>
      <c r="G155" s="224">
        <f t="shared" si="24"/>
        <v>456</v>
      </c>
      <c r="H155" s="224">
        <f t="shared" si="25"/>
        <v>290</v>
      </c>
      <c r="I155" s="224">
        <f t="shared" si="17"/>
        <v>13720.639735648609</v>
      </c>
      <c r="J155" s="236"/>
      <c r="K155" s="228"/>
      <c r="L155" s="238">
        <f t="shared" si="18"/>
        <v>751034.234435304</v>
      </c>
      <c r="M155" s="239">
        <f t="shared" si="19"/>
        <v>762</v>
      </c>
      <c r="N155" s="240">
        <f t="shared" si="27"/>
        <v>0.0969</v>
      </c>
      <c r="O155" s="85">
        <f t="shared" si="28"/>
        <v>393.1034482758621</v>
      </c>
      <c r="P155" s="85">
        <f t="shared" si="26"/>
        <v>13617.743183924471</v>
      </c>
    </row>
    <row r="156" spans="1:16" ht="12.75">
      <c r="A156" s="223">
        <f t="shared" si="20"/>
        <v>100</v>
      </c>
      <c r="B156" s="224">
        <f t="shared" si="21"/>
        <v>751034.234435304</v>
      </c>
      <c r="C156" s="224">
        <f t="shared" si="22"/>
        <v>6604.038292583527</v>
      </c>
      <c r="D156" s="235">
        <f t="shared" si="15"/>
        <v>6064.601443065079</v>
      </c>
      <c r="E156" s="224">
        <f t="shared" si="16"/>
        <v>12668.639735648607</v>
      </c>
      <c r="F156" s="224">
        <f t="shared" si="23"/>
        <v>306</v>
      </c>
      <c r="G156" s="224">
        <f t="shared" si="24"/>
        <v>456</v>
      </c>
      <c r="H156" s="224">
        <f t="shared" si="25"/>
        <v>290</v>
      </c>
      <c r="I156" s="224">
        <f t="shared" si="17"/>
        <v>13720.639735648607</v>
      </c>
      <c r="J156" s="236"/>
      <c r="K156" s="228"/>
      <c r="L156" s="238">
        <f t="shared" si="18"/>
        <v>744430.1961427204</v>
      </c>
      <c r="M156" s="239">
        <f t="shared" si="19"/>
        <v>762</v>
      </c>
      <c r="N156" s="240">
        <f t="shared" si="27"/>
        <v>0.0969</v>
      </c>
      <c r="O156" s="85">
        <f t="shared" si="28"/>
        <v>393.1034482758621</v>
      </c>
      <c r="P156" s="85">
        <f t="shared" si="26"/>
        <v>13617.74318392447</v>
      </c>
    </row>
    <row r="157" spans="1:16" ht="12.75">
      <c r="A157" s="223">
        <f t="shared" si="20"/>
        <v>101</v>
      </c>
      <c r="B157" s="224">
        <f t="shared" si="21"/>
        <v>744430.1961427204</v>
      </c>
      <c r="C157" s="224">
        <f t="shared" si="22"/>
        <v>6657.365901796139</v>
      </c>
      <c r="D157" s="235">
        <f t="shared" si="15"/>
        <v>6011.273833852468</v>
      </c>
      <c r="E157" s="224">
        <f t="shared" si="16"/>
        <v>12668.639735648607</v>
      </c>
      <c r="F157" s="224">
        <f t="shared" si="23"/>
        <v>306</v>
      </c>
      <c r="G157" s="224">
        <f t="shared" si="24"/>
        <v>456</v>
      </c>
      <c r="H157" s="224">
        <f t="shared" si="25"/>
        <v>290</v>
      </c>
      <c r="I157" s="224">
        <f t="shared" si="17"/>
        <v>13720.639735648607</v>
      </c>
      <c r="J157" s="236"/>
      <c r="K157" s="228"/>
      <c r="L157" s="238">
        <f t="shared" si="18"/>
        <v>737772.8302409243</v>
      </c>
      <c r="M157" s="239">
        <f t="shared" si="19"/>
        <v>762</v>
      </c>
      <c r="N157" s="240">
        <f t="shared" si="27"/>
        <v>0.0969</v>
      </c>
      <c r="O157" s="85">
        <f t="shared" si="28"/>
        <v>393.1034482758621</v>
      </c>
      <c r="P157" s="85">
        <f t="shared" si="26"/>
        <v>13617.74318392447</v>
      </c>
    </row>
    <row r="158" spans="1:16" ht="12.75">
      <c r="A158" s="223">
        <f t="shared" si="20"/>
        <v>102</v>
      </c>
      <c r="B158" s="224">
        <f t="shared" si="21"/>
        <v>737772.8302409243</v>
      </c>
      <c r="C158" s="224">
        <f t="shared" si="22"/>
        <v>6711.124131453143</v>
      </c>
      <c r="D158" s="235">
        <f t="shared" si="15"/>
        <v>5957.515604195464</v>
      </c>
      <c r="E158" s="224">
        <f t="shared" si="16"/>
        <v>12668.639735648607</v>
      </c>
      <c r="F158" s="224">
        <f t="shared" si="23"/>
        <v>306</v>
      </c>
      <c r="G158" s="224">
        <f t="shared" si="24"/>
        <v>456</v>
      </c>
      <c r="H158" s="224">
        <f t="shared" si="25"/>
        <v>290</v>
      </c>
      <c r="I158" s="224">
        <f t="shared" si="17"/>
        <v>13720.639735648607</v>
      </c>
      <c r="J158" s="236"/>
      <c r="K158" s="228"/>
      <c r="L158" s="238">
        <f t="shared" si="18"/>
        <v>731061.7061094712</v>
      </c>
      <c r="M158" s="239">
        <f t="shared" si="19"/>
        <v>762</v>
      </c>
      <c r="N158" s="240">
        <f t="shared" si="27"/>
        <v>0.0969</v>
      </c>
      <c r="O158" s="85">
        <f t="shared" si="28"/>
        <v>393.1034482758621</v>
      </c>
      <c r="P158" s="85">
        <f t="shared" si="26"/>
        <v>13617.74318392447</v>
      </c>
    </row>
    <row r="159" spans="1:16" ht="12.75">
      <c r="A159" s="223">
        <f t="shared" si="20"/>
        <v>103</v>
      </c>
      <c r="B159" s="224">
        <f t="shared" si="21"/>
        <v>731061.7061094712</v>
      </c>
      <c r="C159" s="224">
        <f t="shared" si="22"/>
        <v>6765.316458814627</v>
      </c>
      <c r="D159" s="235">
        <f t="shared" si="15"/>
        <v>5903.323276833979</v>
      </c>
      <c r="E159" s="224">
        <f t="shared" si="16"/>
        <v>12668.639735648607</v>
      </c>
      <c r="F159" s="224">
        <f t="shared" si="23"/>
        <v>306</v>
      </c>
      <c r="G159" s="224">
        <f t="shared" si="24"/>
        <v>456</v>
      </c>
      <c r="H159" s="224">
        <f t="shared" si="25"/>
        <v>290</v>
      </c>
      <c r="I159" s="224">
        <f t="shared" si="17"/>
        <v>13720.639735648607</v>
      </c>
      <c r="J159" s="236"/>
      <c r="K159" s="228"/>
      <c r="L159" s="238">
        <f t="shared" si="18"/>
        <v>724296.3896506565</v>
      </c>
      <c r="M159" s="239">
        <f t="shared" si="19"/>
        <v>762</v>
      </c>
      <c r="N159" s="240">
        <f t="shared" si="27"/>
        <v>0.0969</v>
      </c>
      <c r="O159" s="85">
        <f t="shared" si="28"/>
        <v>393.1034482758621</v>
      </c>
      <c r="P159" s="85">
        <f t="shared" si="26"/>
        <v>13617.74318392447</v>
      </c>
    </row>
    <row r="160" spans="1:16" ht="12.75">
      <c r="A160" s="223">
        <f t="shared" si="20"/>
        <v>104</v>
      </c>
      <c r="B160" s="224">
        <f t="shared" si="21"/>
        <v>724296.3896506565</v>
      </c>
      <c r="C160" s="224">
        <f t="shared" si="22"/>
        <v>6819.946389219557</v>
      </c>
      <c r="D160" s="235">
        <f t="shared" si="15"/>
        <v>5848.693346429051</v>
      </c>
      <c r="E160" s="224">
        <f t="shared" si="16"/>
        <v>12668.639735648609</v>
      </c>
      <c r="F160" s="224">
        <f t="shared" si="23"/>
        <v>306</v>
      </c>
      <c r="G160" s="224">
        <f t="shared" si="24"/>
        <v>456</v>
      </c>
      <c r="H160" s="224">
        <f t="shared" si="25"/>
        <v>290</v>
      </c>
      <c r="I160" s="224">
        <f t="shared" si="17"/>
        <v>13720.639735648609</v>
      </c>
      <c r="J160" s="236"/>
      <c r="K160" s="228"/>
      <c r="L160" s="238">
        <f t="shared" si="18"/>
        <v>717476.4432614369</v>
      </c>
      <c r="M160" s="239">
        <f t="shared" si="19"/>
        <v>762</v>
      </c>
      <c r="N160" s="240">
        <f t="shared" si="27"/>
        <v>0.0969</v>
      </c>
      <c r="O160" s="85">
        <f t="shared" si="28"/>
        <v>393.1034482758621</v>
      </c>
      <c r="P160" s="85">
        <f t="shared" si="26"/>
        <v>13617.743183924471</v>
      </c>
    </row>
    <row r="161" spans="1:16" ht="12.75">
      <c r="A161" s="223">
        <f t="shared" si="20"/>
        <v>105</v>
      </c>
      <c r="B161" s="224">
        <f t="shared" si="21"/>
        <v>717476.4432614369</v>
      </c>
      <c r="C161" s="224">
        <f t="shared" si="22"/>
        <v>6875.017456312501</v>
      </c>
      <c r="D161" s="235">
        <f t="shared" si="15"/>
        <v>5793.622279336102</v>
      </c>
      <c r="E161" s="224">
        <f t="shared" si="16"/>
        <v>12668.639735648603</v>
      </c>
      <c r="F161" s="224">
        <f t="shared" si="23"/>
        <v>306</v>
      </c>
      <c r="G161" s="224">
        <f t="shared" si="24"/>
        <v>456</v>
      </c>
      <c r="H161" s="224">
        <f t="shared" si="25"/>
        <v>290</v>
      </c>
      <c r="I161" s="224">
        <f t="shared" si="17"/>
        <v>13720.639735648603</v>
      </c>
      <c r="J161" s="236"/>
      <c r="K161" s="228"/>
      <c r="L161" s="238">
        <f t="shared" si="18"/>
        <v>710601.4258051243</v>
      </c>
      <c r="M161" s="239">
        <f t="shared" si="19"/>
        <v>762</v>
      </c>
      <c r="N161" s="240">
        <f t="shared" si="27"/>
        <v>0.0969</v>
      </c>
      <c r="O161" s="85">
        <f t="shared" si="28"/>
        <v>393.1034482758621</v>
      </c>
      <c r="P161" s="85">
        <f t="shared" si="26"/>
        <v>13617.743183924465</v>
      </c>
    </row>
    <row r="162" spans="1:16" ht="12.75">
      <c r="A162" s="223">
        <f t="shared" si="20"/>
        <v>106</v>
      </c>
      <c r="B162" s="224">
        <f t="shared" si="21"/>
        <v>710601.4258051243</v>
      </c>
      <c r="C162" s="224">
        <f t="shared" si="22"/>
        <v>6930.533222272222</v>
      </c>
      <c r="D162" s="235">
        <f t="shared" si="15"/>
        <v>5738.10651337638</v>
      </c>
      <c r="E162" s="224">
        <f t="shared" si="16"/>
        <v>12668.639735648601</v>
      </c>
      <c r="F162" s="224">
        <f t="shared" si="23"/>
        <v>306</v>
      </c>
      <c r="G162" s="224">
        <f t="shared" si="24"/>
        <v>456</v>
      </c>
      <c r="H162" s="224">
        <f t="shared" si="25"/>
        <v>290</v>
      </c>
      <c r="I162" s="224">
        <f t="shared" si="17"/>
        <v>13720.639735648601</v>
      </c>
      <c r="J162" s="236"/>
      <c r="K162" s="228"/>
      <c r="L162" s="238">
        <f t="shared" si="18"/>
        <v>703670.8925828522</v>
      </c>
      <c r="M162" s="239">
        <f t="shared" si="19"/>
        <v>762</v>
      </c>
      <c r="N162" s="240">
        <f t="shared" si="27"/>
        <v>0.0969</v>
      </c>
      <c r="O162" s="85">
        <f t="shared" si="28"/>
        <v>393.1034482758621</v>
      </c>
      <c r="P162" s="85">
        <f t="shared" si="26"/>
        <v>13617.743183924464</v>
      </c>
    </row>
    <row r="163" spans="1:16" ht="12.75">
      <c r="A163" s="223">
        <f t="shared" si="20"/>
        <v>107</v>
      </c>
      <c r="B163" s="224">
        <f t="shared" si="21"/>
        <v>703670.8925828522</v>
      </c>
      <c r="C163" s="224">
        <f t="shared" si="22"/>
        <v>6986.497278042075</v>
      </c>
      <c r="D163" s="235">
        <f t="shared" si="15"/>
        <v>5682.142457606532</v>
      </c>
      <c r="E163" s="224">
        <f t="shared" si="16"/>
        <v>12668.639735648607</v>
      </c>
      <c r="F163" s="224">
        <f t="shared" si="23"/>
        <v>306</v>
      </c>
      <c r="G163" s="224">
        <f t="shared" si="24"/>
        <v>456</v>
      </c>
      <c r="H163" s="224">
        <f t="shared" si="25"/>
        <v>290</v>
      </c>
      <c r="I163" s="224">
        <f t="shared" si="17"/>
        <v>13720.639735648607</v>
      </c>
      <c r="J163" s="236"/>
      <c r="K163" s="228"/>
      <c r="L163" s="238">
        <f t="shared" si="18"/>
        <v>696684.3953048101</v>
      </c>
      <c r="M163" s="239">
        <f t="shared" si="19"/>
        <v>762</v>
      </c>
      <c r="N163" s="240">
        <f t="shared" si="27"/>
        <v>0.0969</v>
      </c>
      <c r="O163" s="85">
        <f t="shared" si="28"/>
        <v>393.1034482758621</v>
      </c>
      <c r="P163" s="85">
        <f t="shared" si="26"/>
        <v>13617.74318392447</v>
      </c>
    </row>
    <row r="164" spans="1:16" ht="12.75">
      <c r="A164" s="223">
        <f t="shared" si="20"/>
        <v>108</v>
      </c>
      <c r="B164" s="224">
        <f t="shared" si="21"/>
        <v>696684.3953048101</v>
      </c>
      <c r="C164" s="224">
        <f t="shared" si="22"/>
        <v>7042.913243562265</v>
      </c>
      <c r="D164" s="235">
        <f t="shared" si="15"/>
        <v>5625.726492086342</v>
      </c>
      <c r="E164" s="224">
        <f t="shared" si="16"/>
        <v>12668.639735648607</v>
      </c>
      <c r="F164" s="224">
        <f t="shared" si="23"/>
        <v>306</v>
      </c>
      <c r="G164" s="224">
        <f t="shared" si="24"/>
        <v>456</v>
      </c>
      <c r="H164" s="224">
        <f t="shared" si="25"/>
        <v>290</v>
      </c>
      <c r="I164" s="224">
        <f t="shared" si="17"/>
        <v>13720.639735648607</v>
      </c>
      <c r="J164" s="236"/>
      <c r="K164" s="228"/>
      <c r="L164" s="238">
        <f t="shared" si="18"/>
        <v>689641.4820612479</v>
      </c>
      <c r="M164" s="239">
        <f t="shared" si="19"/>
        <v>762</v>
      </c>
      <c r="N164" s="240">
        <f t="shared" si="27"/>
        <v>0.0969</v>
      </c>
      <c r="O164" s="85">
        <f t="shared" si="28"/>
        <v>393.1034482758621</v>
      </c>
      <c r="P164" s="85">
        <f t="shared" si="26"/>
        <v>13617.74318392447</v>
      </c>
    </row>
    <row r="165" spans="1:16" ht="12.75">
      <c r="A165" s="223">
        <f t="shared" si="20"/>
        <v>109</v>
      </c>
      <c r="B165" s="224">
        <f t="shared" si="21"/>
        <v>689641.4820612479</v>
      </c>
      <c r="C165" s="224">
        <f t="shared" si="22"/>
        <v>7099.78476800403</v>
      </c>
      <c r="D165" s="235">
        <f t="shared" si="15"/>
        <v>5568.854967644576</v>
      </c>
      <c r="E165" s="224">
        <f t="shared" si="16"/>
        <v>12668.639735648607</v>
      </c>
      <c r="F165" s="224">
        <f t="shared" si="23"/>
        <v>306</v>
      </c>
      <c r="G165" s="224">
        <f t="shared" si="24"/>
        <v>456</v>
      </c>
      <c r="H165" s="224">
        <f t="shared" si="25"/>
        <v>290</v>
      </c>
      <c r="I165" s="224">
        <f t="shared" si="17"/>
        <v>13720.639735648607</v>
      </c>
      <c r="J165" s="236"/>
      <c r="K165" s="228"/>
      <c r="L165" s="238">
        <f t="shared" si="18"/>
        <v>682541.6972932438</v>
      </c>
      <c r="M165" s="239">
        <f t="shared" si="19"/>
        <v>762</v>
      </c>
      <c r="N165" s="240">
        <f t="shared" si="27"/>
        <v>0.0969</v>
      </c>
      <c r="O165" s="85">
        <f t="shared" si="28"/>
        <v>393.1034482758621</v>
      </c>
      <c r="P165" s="85">
        <f t="shared" si="26"/>
        <v>13617.74318392447</v>
      </c>
    </row>
    <row r="166" spans="1:16" ht="12.75">
      <c r="A166" s="223">
        <f t="shared" si="20"/>
        <v>110</v>
      </c>
      <c r="B166" s="224">
        <f t="shared" si="21"/>
        <v>682541.6972932438</v>
      </c>
      <c r="C166" s="224">
        <f t="shared" si="22"/>
        <v>7157.115530005659</v>
      </c>
      <c r="D166" s="235">
        <f t="shared" si="15"/>
        <v>5511.524205642944</v>
      </c>
      <c r="E166" s="224">
        <f t="shared" si="16"/>
        <v>12668.639735648603</v>
      </c>
      <c r="F166" s="224">
        <f t="shared" si="23"/>
        <v>306</v>
      </c>
      <c r="G166" s="224">
        <f t="shared" si="24"/>
        <v>456</v>
      </c>
      <c r="H166" s="224">
        <f t="shared" si="25"/>
        <v>290</v>
      </c>
      <c r="I166" s="224">
        <f t="shared" si="17"/>
        <v>13720.639735648603</v>
      </c>
      <c r="J166" s="236"/>
      <c r="K166" s="228"/>
      <c r="L166" s="238">
        <f t="shared" si="18"/>
        <v>675384.5817632382</v>
      </c>
      <c r="M166" s="239">
        <f t="shared" si="19"/>
        <v>762</v>
      </c>
      <c r="N166" s="240">
        <f t="shared" si="27"/>
        <v>0.0969</v>
      </c>
      <c r="O166" s="85">
        <f t="shared" si="28"/>
        <v>393.1034482758621</v>
      </c>
      <c r="P166" s="85">
        <f t="shared" si="26"/>
        <v>13617.743183924465</v>
      </c>
    </row>
    <row r="167" spans="1:16" ht="12.75">
      <c r="A167" s="223">
        <f t="shared" si="20"/>
        <v>111</v>
      </c>
      <c r="B167" s="224">
        <f t="shared" si="21"/>
        <v>675384.5817632382</v>
      </c>
      <c r="C167" s="224">
        <f t="shared" si="22"/>
        <v>7214.909237910459</v>
      </c>
      <c r="D167" s="235">
        <f t="shared" si="15"/>
        <v>5453.730497738148</v>
      </c>
      <c r="E167" s="224">
        <f t="shared" si="16"/>
        <v>12668.639735648607</v>
      </c>
      <c r="F167" s="224">
        <f t="shared" si="23"/>
        <v>306</v>
      </c>
      <c r="G167" s="224">
        <f t="shared" si="24"/>
        <v>456</v>
      </c>
      <c r="H167" s="224">
        <f t="shared" si="25"/>
        <v>290</v>
      </c>
      <c r="I167" s="224">
        <f t="shared" si="17"/>
        <v>13720.639735648607</v>
      </c>
      <c r="J167" s="236"/>
      <c r="K167" s="228"/>
      <c r="L167" s="238">
        <f t="shared" si="18"/>
        <v>668169.6725253278</v>
      </c>
      <c r="M167" s="239">
        <f t="shared" si="19"/>
        <v>762</v>
      </c>
      <c r="N167" s="240">
        <f t="shared" si="27"/>
        <v>0.0969</v>
      </c>
      <c r="O167" s="85">
        <f t="shared" si="28"/>
        <v>393.1034482758621</v>
      </c>
      <c r="P167" s="85">
        <f t="shared" si="26"/>
        <v>13617.74318392447</v>
      </c>
    </row>
    <row r="168" spans="1:16" ht="12.75">
      <c r="A168" s="223">
        <f t="shared" si="20"/>
        <v>112</v>
      </c>
      <c r="B168" s="224">
        <f t="shared" si="21"/>
        <v>668169.6725253278</v>
      </c>
      <c r="C168" s="224">
        <f t="shared" si="22"/>
        <v>7273.169630006587</v>
      </c>
      <c r="D168" s="235">
        <f t="shared" si="15"/>
        <v>5395.470105642022</v>
      </c>
      <c r="E168" s="224">
        <f t="shared" si="16"/>
        <v>12668.639735648609</v>
      </c>
      <c r="F168" s="224">
        <f t="shared" si="23"/>
        <v>306</v>
      </c>
      <c r="G168" s="224">
        <f t="shared" si="24"/>
        <v>456</v>
      </c>
      <c r="H168" s="224">
        <f t="shared" si="25"/>
        <v>290</v>
      </c>
      <c r="I168" s="224">
        <f t="shared" si="17"/>
        <v>13720.639735648609</v>
      </c>
      <c r="J168" s="236"/>
      <c r="K168" s="228"/>
      <c r="L168" s="238">
        <f t="shared" si="18"/>
        <v>660896.5028953212</v>
      </c>
      <c r="M168" s="239">
        <f t="shared" si="19"/>
        <v>762</v>
      </c>
      <c r="N168" s="240">
        <f t="shared" si="27"/>
        <v>0.0969</v>
      </c>
      <c r="O168" s="85">
        <f t="shared" si="28"/>
        <v>393.1034482758621</v>
      </c>
      <c r="P168" s="85">
        <f t="shared" si="26"/>
        <v>13617.743183924471</v>
      </c>
    </row>
    <row r="169" spans="1:16" ht="12.75">
      <c r="A169" s="223">
        <f t="shared" si="20"/>
        <v>113</v>
      </c>
      <c r="B169" s="224">
        <f t="shared" si="21"/>
        <v>660896.5028953212</v>
      </c>
      <c r="C169" s="224">
        <f t="shared" si="22"/>
        <v>7331.900474768884</v>
      </c>
      <c r="D169" s="235">
        <f t="shared" si="15"/>
        <v>5336.739260879719</v>
      </c>
      <c r="E169" s="224">
        <f t="shared" si="16"/>
        <v>12668.639735648603</v>
      </c>
      <c r="F169" s="224">
        <f t="shared" si="23"/>
        <v>306</v>
      </c>
      <c r="G169" s="224">
        <f t="shared" si="24"/>
        <v>456</v>
      </c>
      <c r="H169" s="224">
        <f t="shared" si="25"/>
        <v>290</v>
      </c>
      <c r="I169" s="224">
        <f t="shared" si="17"/>
        <v>13720.639735648603</v>
      </c>
      <c r="J169" s="236"/>
      <c r="K169" s="228"/>
      <c r="L169" s="238">
        <f t="shared" si="18"/>
        <v>653564.6024205524</v>
      </c>
      <c r="M169" s="239">
        <f t="shared" si="19"/>
        <v>762</v>
      </c>
      <c r="N169" s="240">
        <f t="shared" si="27"/>
        <v>0.0969</v>
      </c>
      <c r="O169" s="85">
        <f t="shared" si="28"/>
        <v>393.1034482758621</v>
      </c>
      <c r="P169" s="85">
        <f t="shared" si="26"/>
        <v>13617.743183924465</v>
      </c>
    </row>
    <row r="170" spans="1:16" ht="12.75">
      <c r="A170" s="223">
        <f t="shared" si="20"/>
        <v>114</v>
      </c>
      <c r="B170" s="224">
        <f t="shared" si="21"/>
        <v>653564.6024205524</v>
      </c>
      <c r="C170" s="224">
        <f t="shared" si="22"/>
        <v>7391.105571102652</v>
      </c>
      <c r="D170" s="235">
        <f t="shared" si="15"/>
        <v>5277.53416454596</v>
      </c>
      <c r="E170" s="224">
        <f t="shared" si="16"/>
        <v>12668.639735648612</v>
      </c>
      <c r="F170" s="224">
        <f t="shared" si="23"/>
        <v>306</v>
      </c>
      <c r="G170" s="224">
        <f t="shared" si="24"/>
        <v>456</v>
      </c>
      <c r="H170" s="224">
        <f t="shared" si="25"/>
        <v>290</v>
      </c>
      <c r="I170" s="224">
        <f t="shared" si="17"/>
        <v>13720.639735648612</v>
      </c>
      <c r="J170" s="236"/>
      <c r="K170" s="228"/>
      <c r="L170" s="238">
        <f t="shared" si="18"/>
        <v>646173.4968494497</v>
      </c>
      <c r="M170" s="239">
        <f t="shared" si="19"/>
        <v>762</v>
      </c>
      <c r="N170" s="240">
        <f t="shared" si="27"/>
        <v>0.0969</v>
      </c>
      <c r="O170" s="85">
        <f t="shared" si="28"/>
        <v>393.1034482758621</v>
      </c>
      <c r="P170" s="85">
        <f t="shared" si="26"/>
        <v>13617.743183924475</v>
      </c>
    </row>
    <row r="171" spans="1:16" ht="12.75">
      <c r="A171" s="223">
        <f t="shared" si="20"/>
        <v>115</v>
      </c>
      <c r="B171" s="224">
        <f t="shared" si="21"/>
        <v>646173.4968494497</v>
      </c>
      <c r="C171" s="224">
        <f t="shared" si="22"/>
        <v>7450.7887485893025</v>
      </c>
      <c r="D171" s="235">
        <f t="shared" si="15"/>
        <v>5217.850987059306</v>
      </c>
      <c r="E171" s="224">
        <f t="shared" si="16"/>
        <v>12668.639735648609</v>
      </c>
      <c r="F171" s="224">
        <f t="shared" si="23"/>
        <v>306</v>
      </c>
      <c r="G171" s="224">
        <f t="shared" si="24"/>
        <v>456</v>
      </c>
      <c r="H171" s="224">
        <f t="shared" si="25"/>
        <v>290</v>
      </c>
      <c r="I171" s="224">
        <f t="shared" si="17"/>
        <v>13720.639735648609</v>
      </c>
      <c r="J171" s="236"/>
      <c r="K171" s="228"/>
      <c r="L171" s="238">
        <f t="shared" si="18"/>
        <v>638722.7081008604</v>
      </c>
      <c r="M171" s="239">
        <f t="shared" si="19"/>
        <v>762</v>
      </c>
      <c r="N171" s="240">
        <f t="shared" si="27"/>
        <v>0.0969</v>
      </c>
      <c r="O171" s="85">
        <f t="shared" si="28"/>
        <v>393.1034482758621</v>
      </c>
      <c r="P171" s="85">
        <f t="shared" si="26"/>
        <v>13617.743183924471</v>
      </c>
    </row>
    <row r="172" spans="1:16" ht="12.75">
      <c r="A172" s="223">
        <f t="shared" si="20"/>
        <v>116</v>
      </c>
      <c r="B172" s="224">
        <f t="shared" si="21"/>
        <v>638722.7081008604</v>
      </c>
      <c r="C172" s="224">
        <f t="shared" si="22"/>
        <v>7510.95386773416</v>
      </c>
      <c r="D172" s="235">
        <f t="shared" si="15"/>
        <v>5157.685867914447</v>
      </c>
      <c r="E172" s="224">
        <f t="shared" si="16"/>
        <v>12668.639735648607</v>
      </c>
      <c r="F172" s="224">
        <f t="shared" si="23"/>
        <v>306</v>
      </c>
      <c r="G172" s="224">
        <f t="shared" si="24"/>
        <v>456</v>
      </c>
      <c r="H172" s="224">
        <f t="shared" si="25"/>
        <v>290</v>
      </c>
      <c r="I172" s="224">
        <f t="shared" si="17"/>
        <v>13720.639735648607</v>
      </c>
      <c r="J172" s="236"/>
      <c r="K172" s="228"/>
      <c r="L172" s="238">
        <f t="shared" si="18"/>
        <v>631211.7542331262</v>
      </c>
      <c r="M172" s="239">
        <f t="shared" si="19"/>
        <v>762</v>
      </c>
      <c r="N172" s="240">
        <f t="shared" si="27"/>
        <v>0.0969</v>
      </c>
      <c r="O172" s="85">
        <f t="shared" si="28"/>
        <v>393.1034482758621</v>
      </c>
      <c r="P172" s="85">
        <f t="shared" si="26"/>
        <v>13617.74318392447</v>
      </c>
    </row>
    <row r="173" spans="1:16" ht="12.75">
      <c r="A173" s="223">
        <f t="shared" si="20"/>
        <v>117</v>
      </c>
      <c r="B173" s="224">
        <f t="shared" si="21"/>
        <v>631211.7542331262</v>
      </c>
      <c r="C173" s="224">
        <f t="shared" si="22"/>
        <v>7571.604820216115</v>
      </c>
      <c r="D173" s="235">
        <f t="shared" si="15"/>
        <v>5097.034915432494</v>
      </c>
      <c r="E173" s="224">
        <f t="shared" si="16"/>
        <v>12668.639735648609</v>
      </c>
      <c r="F173" s="224">
        <f t="shared" si="23"/>
        <v>306</v>
      </c>
      <c r="G173" s="224">
        <f t="shared" si="24"/>
        <v>456</v>
      </c>
      <c r="H173" s="224">
        <f t="shared" si="25"/>
        <v>290</v>
      </c>
      <c r="I173" s="224">
        <f t="shared" si="17"/>
        <v>13720.639735648609</v>
      </c>
      <c r="J173" s="236"/>
      <c r="K173" s="228"/>
      <c r="L173" s="238">
        <f t="shared" si="18"/>
        <v>623640.1494129101</v>
      </c>
      <c r="M173" s="239">
        <f t="shared" si="19"/>
        <v>762</v>
      </c>
      <c r="N173" s="240">
        <f t="shared" si="27"/>
        <v>0.0969</v>
      </c>
      <c r="O173" s="85">
        <f t="shared" si="28"/>
        <v>393.1034482758621</v>
      </c>
      <c r="P173" s="85">
        <f t="shared" si="26"/>
        <v>13617.743183924471</v>
      </c>
    </row>
    <row r="174" spans="1:16" ht="12.75">
      <c r="A174" s="223">
        <f t="shared" si="20"/>
        <v>118</v>
      </c>
      <c r="B174" s="224">
        <f t="shared" si="21"/>
        <v>623640.1494129101</v>
      </c>
      <c r="C174" s="224">
        <f t="shared" si="22"/>
        <v>7632.745529139357</v>
      </c>
      <c r="D174" s="235">
        <f t="shared" si="15"/>
        <v>5035.89420650925</v>
      </c>
      <c r="E174" s="224">
        <f t="shared" si="16"/>
        <v>12668.639735648607</v>
      </c>
      <c r="F174" s="224">
        <f t="shared" si="23"/>
        <v>306</v>
      </c>
      <c r="G174" s="224">
        <f t="shared" si="24"/>
        <v>456</v>
      </c>
      <c r="H174" s="224">
        <f t="shared" si="25"/>
        <v>290</v>
      </c>
      <c r="I174" s="224">
        <f t="shared" si="17"/>
        <v>13720.639735648607</v>
      </c>
      <c r="J174" s="236"/>
      <c r="K174" s="228"/>
      <c r="L174" s="238">
        <f t="shared" si="18"/>
        <v>616007.4038837707</v>
      </c>
      <c r="M174" s="239">
        <f t="shared" si="19"/>
        <v>762</v>
      </c>
      <c r="N174" s="240">
        <f t="shared" si="27"/>
        <v>0.0969</v>
      </c>
      <c r="O174" s="85">
        <f t="shared" si="28"/>
        <v>393.1034482758621</v>
      </c>
      <c r="P174" s="85">
        <f t="shared" si="26"/>
        <v>13617.74318392447</v>
      </c>
    </row>
    <row r="175" spans="1:16" ht="12.75">
      <c r="A175" s="223">
        <f t="shared" si="20"/>
        <v>119</v>
      </c>
      <c r="B175" s="224">
        <f t="shared" si="21"/>
        <v>616007.4038837707</v>
      </c>
      <c r="C175" s="224">
        <f t="shared" si="22"/>
        <v>7694.3799492871585</v>
      </c>
      <c r="D175" s="235">
        <f t="shared" si="15"/>
        <v>4974.259786361448</v>
      </c>
      <c r="E175" s="224">
        <f t="shared" si="16"/>
        <v>12668.639735648607</v>
      </c>
      <c r="F175" s="224">
        <f t="shared" si="23"/>
        <v>306</v>
      </c>
      <c r="G175" s="224">
        <f t="shared" si="24"/>
        <v>456</v>
      </c>
      <c r="H175" s="224">
        <f t="shared" si="25"/>
        <v>290</v>
      </c>
      <c r="I175" s="224">
        <f t="shared" si="17"/>
        <v>13720.639735648607</v>
      </c>
      <c r="J175" s="236"/>
      <c r="K175" s="228"/>
      <c r="L175" s="238">
        <f t="shared" si="18"/>
        <v>608313.0239344835</v>
      </c>
      <c r="M175" s="239">
        <f t="shared" si="19"/>
        <v>762</v>
      </c>
      <c r="N175" s="240">
        <f t="shared" si="27"/>
        <v>0.0969</v>
      </c>
      <c r="O175" s="85">
        <f t="shared" si="28"/>
        <v>393.1034482758621</v>
      </c>
      <c r="P175" s="85">
        <f t="shared" si="26"/>
        <v>13617.74318392447</v>
      </c>
    </row>
    <row r="176" spans="1:16" ht="12.75">
      <c r="A176" s="223">
        <f t="shared" si="20"/>
        <v>120</v>
      </c>
      <c r="B176" s="224">
        <f t="shared" si="21"/>
        <v>608313.0239344835</v>
      </c>
      <c r="C176" s="224">
        <f t="shared" si="22"/>
        <v>7756.512067377652</v>
      </c>
      <c r="D176" s="235">
        <f t="shared" si="15"/>
        <v>4912.127668270955</v>
      </c>
      <c r="E176" s="224">
        <f t="shared" si="16"/>
        <v>12668.639735648607</v>
      </c>
      <c r="F176" s="224">
        <f t="shared" si="23"/>
        <v>306</v>
      </c>
      <c r="G176" s="224">
        <f t="shared" si="24"/>
        <v>456</v>
      </c>
      <c r="H176" s="224">
        <f t="shared" si="25"/>
        <v>290</v>
      </c>
      <c r="I176" s="224">
        <f t="shared" si="17"/>
        <v>13720.639735648607</v>
      </c>
      <c r="J176" s="236"/>
      <c r="K176" s="228"/>
      <c r="L176" s="238">
        <f t="shared" si="18"/>
        <v>600556.5118671058</v>
      </c>
      <c r="M176" s="239">
        <f t="shared" si="19"/>
        <v>762</v>
      </c>
      <c r="N176" s="240">
        <f t="shared" si="27"/>
        <v>0.0969</v>
      </c>
      <c r="O176" s="85">
        <f t="shared" si="28"/>
        <v>393.1034482758621</v>
      </c>
      <c r="P176" s="85">
        <f t="shared" si="26"/>
        <v>13617.74318392447</v>
      </c>
    </row>
    <row r="177" spans="1:16" ht="12.75">
      <c r="A177" s="223">
        <f t="shared" si="20"/>
        <v>121</v>
      </c>
      <c r="B177" s="224">
        <f t="shared" si="21"/>
        <v>600556.5118671058</v>
      </c>
      <c r="C177" s="224">
        <f t="shared" si="22"/>
        <v>7819.145902321728</v>
      </c>
      <c r="D177" s="235">
        <f t="shared" si="15"/>
        <v>4849.493833326879</v>
      </c>
      <c r="E177" s="224">
        <f t="shared" si="16"/>
        <v>12668.639735648607</v>
      </c>
      <c r="F177" s="224">
        <f t="shared" si="23"/>
        <v>306</v>
      </c>
      <c r="G177" s="224">
        <f t="shared" si="24"/>
        <v>456</v>
      </c>
      <c r="H177" s="224">
        <f t="shared" si="25"/>
        <v>290</v>
      </c>
      <c r="I177" s="224">
        <f t="shared" si="17"/>
        <v>13720.639735648607</v>
      </c>
      <c r="J177" s="236"/>
      <c r="K177" s="228"/>
      <c r="L177" s="238">
        <f t="shared" si="18"/>
        <v>592737.3659647842</v>
      </c>
      <c r="M177" s="239">
        <f t="shared" si="19"/>
        <v>762</v>
      </c>
      <c r="N177" s="240">
        <f t="shared" si="27"/>
        <v>0.0969</v>
      </c>
      <c r="O177" s="85">
        <f t="shared" si="28"/>
        <v>393.1034482758621</v>
      </c>
      <c r="P177" s="85">
        <f t="shared" si="26"/>
        <v>13617.74318392447</v>
      </c>
    </row>
    <row r="178" spans="1:16" ht="12.75">
      <c r="A178" s="223">
        <f t="shared" si="20"/>
        <v>122</v>
      </c>
      <c r="B178" s="224">
        <f t="shared" si="21"/>
        <v>592737.3659647842</v>
      </c>
      <c r="C178" s="224">
        <f t="shared" si="22"/>
        <v>7882.285505482977</v>
      </c>
      <c r="D178" s="235">
        <f t="shared" si="15"/>
        <v>4786.354230165632</v>
      </c>
      <c r="E178" s="224">
        <f t="shared" si="16"/>
        <v>12668.639735648609</v>
      </c>
      <c r="F178" s="224">
        <f t="shared" si="23"/>
        <v>306</v>
      </c>
      <c r="G178" s="224">
        <f t="shared" si="24"/>
        <v>456</v>
      </c>
      <c r="H178" s="224">
        <f t="shared" si="25"/>
        <v>290</v>
      </c>
      <c r="I178" s="224">
        <f t="shared" si="17"/>
        <v>13720.639735648609</v>
      </c>
      <c r="J178" s="236"/>
      <c r="K178" s="228"/>
      <c r="L178" s="238">
        <f t="shared" si="18"/>
        <v>584855.0804593012</v>
      </c>
      <c r="M178" s="239">
        <f t="shared" si="19"/>
        <v>762</v>
      </c>
      <c r="N178" s="240">
        <f t="shared" si="27"/>
        <v>0.0969</v>
      </c>
      <c r="O178" s="85">
        <f t="shared" si="28"/>
        <v>393.1034482758621</v>
      </c>
      <c r="P178" s="85">
        <f t="shared" si="26"/>
        <v>13617.743183924471</v>
      </c>
    </row>
    <row r="179" spans="1:16" ht="12.75">
      <c r="A179" s="223">
        <f t="shared" si="20"/>
        <v>123</v>
      </c>
      <c r="B179" s="224">
        <f t="shared" si="21"/>
        <v>584855.0804593012</v>
      </c>
      <c r="C179" s="224">
        <f t="shared" si="22"/>
        <v>7945.934960939751</v>
      </c>
      <c r="D179" s="235">
        <f t="shared" si="15"/>
        <v>4722.704774708857</v>
      </c>
      <c r="E179" s="224">
        <f t="shared" si="16"/>
        <v>12668.639735648609</v>
      </c>
      <c r="F179" s="224">
        <f t="shared" si="23"/>
        <v>306</v>
      </c>
      <c r="G179" s="224">
        <f t="shared" si="24"/>
        <v>456</v>
      </c>
      <c r="H179" s="224">
        <f t="shared" si="25"/>
        <v>290</v>
      </c>
      <c r="I179" s="224">
        <f t="shared" si="17"/>
        <v>13720.639735648609</v>
      </c>
      <c r="J179" s="236"/>
      <c r="K179" s="228"/>
      <c r="L179" s="238">
        <f t="shared" si="18"/>
        <v>576909.1454983614</v>
      </c>
      <c r="M179" s="239">
        <f t="shared" si="19"/>
        <v>762</v>
      </c>
      <c r="N179" s="240">
        <f t="shared" si="27"/>
        <v>0.0969</v>
      </c>
      <c r="O179" s="85">
        <f t="shared" si="28"/>
        <v>393.1034482758621</v>
      </c>
      <c r="P179" s="85">
        <f t="shared" si="26"/>
        <v>13617.743183924471</v>
      </c>
    </row>
    <row r="180" spans="1:16" ht="12.75">
      <c r="A180" s="223">
        <f t="shared" si="20"/>
        <v>124</v>
      </c>
      <c r="B180" s="224">
        <f t="shared" si="21"/>
        <v>576909.1454983614</v>
      </c>
      <c r="C180" s="224">
        <f t="shared" si="22"/>
        <v>8010.09838574934</v>
      </c>
      <c r="D180" s="235">
        <f t="shared" si="15"/>
        <v>4658.541349899268</v>
      </c>
      <c r="E180" s="224">
        <f t="shared" si="16"/>
        <v>12668.639735648609</v>
      </c>
      <c r="F180" s="224">
        <f t="shared" si="23"/>
        <v>306</v>
      </c>
      <c r="G180" s="224">
        <f t="shared" si="24"/>
        <v>456</v>
      </c>
      <c r="H180" s="224">
        <f t="shared" si="25"/>
        <v>290</v>
      </c>
      <c r="I180" s="224">
        <f t="shared" si="17"/>
        <v>13720.639735648609</v>
      </c>
      <c r="J180" s="236"/>
      <c r="K180" s="228"/>
      <c r="L180" s="238">
        <f t="shared" si="18"/>
        <v>568899.047112612</v>
      </c>
      <c r="M180" s="239">
        <f t="shared" si="19"/>
        <v>762</v>
      </c>
      <c r="N180" s="240">
        <f t="shared" si="27"/>
        <v>0.0969</v>
      </c>
      <c r="O180" s="85">
        <f t="shared" si="28"/>
        <v>393.1034482758621</v>
      </c>
      <c r="P180" s="85">
        <f t="shared" si="26"/>
        <v>13617.743183924471</v>
      </c>
    </row>
    <row r="181" spans="1:16" ht="12.75">
      <c r="A181" s="223">
        <f t="shared" si="20"/>
        <v>125</v>
      </c>
      <c r="B181" s="224">
        <f t="shared" si="21"/>
        <v>568899.047112612</v>
      </c>
      <c r="C181" s="224">
        <f t="shared" si="22"/>
        <v>8074.779930214264</v>
      </c>
      <c r="D181" s="235">
        <f t="shared" si="15"/>
        <v>4593.859805434343</v>
      </c>
      <c r="E181" s="224">
        <f t="shared" si="16"/>
        <v>12668.639735648607</v>
      </c>
      <c r="F181" s="224">
        <f t="shared" si="23"/>
        <v>306</v>
      </c>
      <c r="G181" s="224">
        <f t="shared" si="24"/>
        <v>456</v>
      </c>
      <c r="H181" s="224">
        <f t="shared" si="25"/>
        <v>290</v>
      </c>
      <c r="I181" s="224">
        <f t="shared" si="17"/>
        <v>13720.639735648607</v>
      </c>
      <c r="J181" s="236"/>
      <c r="K181" s="228"/>
      <c r="L181" s="238">
        <f t="shared" si="18"/>
        <v>560824.2671823978</v>
      </c>
      <c r="M181" s="239">
        <f t="shared" si="19"/>
        <v>762</v>
      </c>
      <c r="N181" s="240">
        <f t="shared" si="27"/>
        <v>0.0969</v>
      </c>
      <c r="O181" s="85">
        <f t="shared" si="28"/>
        <v>393.1034482758621</v>
      </c>
      <c r="P181" s="85">
        <f t="shared" si="26"/>
        <v>13617.74318392447</v>
      </c>
    </row>
    <row r="182" spans="1:16" ht="12.75">
      <c r="A182" s="223">
        <f t="shared" si="20"/>
        <v>126</v>
      </c>
      <c r="B182" s="224">
        <f t="shared" si="21"/>
        <v>560824.2671823978</v>
      </c>
      <c r="C182" s="224">
        <f t="shared" si="22"/>
        <v>8139.983778150745</v>
      </c>
      <c r="D182" s="235">
        <f t="shared" si="15"/>
        <v>4528.655957497862</v>
      </c>
      <c r="E182" s="224">
        <f t="shared" si="16"/>
        <v>12668.639735648607</v>
      </c>
      <c r="F182" s="224">
        <f t="shared" si="23"/>
        <v>306</v>
      </c>
      <c r="G182" s="224">
        <f t="shared" si="24"/>
        <v>456</v>
      </c>
      <c r="H182" s="224">
        <f t="shared" si="25"/>
        <v>290</v>
      </c>
      <c r="I182" s="224">
        <f t="shared" si="17"/>
        <v>13720.639735648607</v>
      </c>
      <c r="J182" s="236"/>
      <c r="K182" s="228"/>
      <c r="L182" s="238">
        <f t="shared" si="18"/>
        <v>552684.283404247</v>
      </c>
      <c r="M182" s="239">
        <f t="shared" si="19"/>
        <v>762</v>
      </c>
      <c r="N182" s="240">
        <f t="shared" si="27"/>
        <v>0.0969</v>
      </c>
      <c r="O182" s="85">
        <f t="shared" si="28"/>
        <v>393.1034482758621</v>
      </c>
      <c r="P182" s="85">
        <f t="shared" si="26"/>
        <v>13617.74318392447</v>
      </c>
    </row>
    <row r="183" spans="1:16" ht="12.75">
      <c r="A183" s="223">
        <f t="shared" si="20"/>
        <v>127</v>
      </c>
      <c r="B183" s="224">
        <f t="shared" si="21"/>
        <v>552684.283404247</v>
      </c>
      <c r="C183" s="224">
        <f t="shared" si="22"/>
        <v>8205.714147159313</v>
      </c>
      <c r="D183" s="235">
        <f t="shared" si="15"/>
        <v>4462.925588489295</v>
      </c>
      <c r="E183" s="224">
        <f t="shared" si="16"/>
        <v>12668.639735648607</v>
      </c>
      <c r="F183" s="224">
        <f t="shared" si="23"/>
        <v>306</v>
      </c>
      <c r="G183" s="224">
        <f t="shared" si="24"/>
        <v>456</v>
      </c>
      <c r="H183" s="224">
        <f t="shared" si="25"/>
        <v>290</v>
      </c>
      <c r="I183" s="224">
        <f t="shared" si="17"/>
        <v>13720.639735648607</v>
      </c>
      <c r="J183" s="236"/>
      <c r="K183" s="228"/>
      <c r="L183" s="238">
        <f t="shared" si="18"/>
        <v>544478.5692570877</v>
      </c>
      <c r="M183" s="239">
        <f t="shared" si="19"/>
        <v>762</v>
      </c>
      <c r="N183" s="240">
        <f t="shared" si="27"/>
        <v>0.0969</v>
      </c>
      <c r="O183" s="85">
        <f t="shared" si="28"/>
        <v>393.1034482758621</v>
      </c>
      <c r="P183" s="85">
        <f t="shared" si="26"/>
        <v>13617.74318392447</v>
      </c>
    </row>
    <row r="184" spans="1:16" ht="12.75">
      <c r="A184" s="223">
        <f t="shared" si="20"/>
        <v>128</v>
      </c>
      <c r="B184" s="224">
        <f t="shared" si="21"/>
        <v>544478.5692570877</v>
      </c>
      <c r="C184" s="224">
        <f t="shared" si="22"/>
        <v>8271.975288897622</v>
      </c>
      <c r="D184" s="235">
        <f t="shared" si="15"/>
        <v>4396.664446750982</v>
      </c>
      <c r="E184" s="224">
        <f t="shared" si="16"/>
        <v>12668.639735648603</v>
      </c>
      <c r="F184" s="224">
        <f t="shared" si="23"/>
        <v>306</v>
      </c>
      <c r="G184" s="224">
        <f t="shared" si="24"/>
        <v>456</v>
      </c>
      <c r="H184" s="224">
        <f t="shared" si="25"/>
        <v>290</v>
      </c>
      <c r="I184" s="224">
        <f t="shared" si="17"/>
        <v>13720.639735648603</v>
      </c>
      <c r="J184" s="236"/>
      <c r="K184" s="228"/>
      <c r="L184" s="238">
        <f t="shared" si="18"/>
        <v>536206.59396819</v>
      </c>
      <c r="M184" s="239">
        <f t="shared" si="19"/>
        <v>762</v>
      </c>
      <c r="N184" s="240">
        <f t="shared" si="27"/>
        <v>0.0969</v>
      </c>
      <c r="O184" s="85">
        <f t="shared" si="28"/>
        <v>393.1034482758621</v>
      </c>
      <c r="P184" s="85">
        <f t="shared" si="26"/>
        <v>13617.743183924465</v>
      </c>
    </row>
    <row r="185" spans="1:16" ht="12.75">
      <c r="A185" s="223">
        <f t="shared" si="20"/>
        <v>129</v>
      </c>
      <c r="B185" s="224">
        <f t="shared" si="21"/>
        <v>536206.59396819</v>
      </c>
      <c r="C185" s="224">
        <f t="shared" si="22"/>
        <v>8338.771489355466</v>
      </c>
      <c r="D185" s="235">
        <f aca="true" t="shared" si="29" ref="D185:D248">IF(A185="","",(B185*($C$17))/12)</f>
        <v>4329.868246293135</v>
      </c>
      <c r="E185" s="224">
        <f aca="true" t="shared" si="30" ref="E185:E248">IF(B185&lt;(IF(A185="","",IF($J$52=2,$G$12,PMT($C$17/12,$C$18-A184,-B185,0,0)))),B185+D185,IF(A185="","",IF($J$52=2,$G$12,PMT($C$17/12,$C$18-A184,-B185,0,0))))</f>
        <v>12668.639735648601</v>
      </c>
      <c r="F185" s="224">
        <f t="shared" si="23"/>
        <v>306</v>
      </c>
      <c r="G185" s="224">
        <f t="shared" si="24"/>
        <v>456</v>
      </c>
      <c r="H185" s="224">
        <f t="shared" si="25"/>
        <v>290</v>
      </c>
      <c r="I185" s="224">
        <f aca="true" t="shared" si="31" ref="I185:I248">IF(A185="","",E185+F185+G185+H185)</f>
        <v>13720.639735648601</v>
      </c>
      <c r="J185" s="236"/>
      <c r="K185" s="228"/>
      <c r="L185" s="238">
        <f aca="true" t="shared" si="32" ref="L185:L248">IF(A185="","",B185-C185-J185-K185)</f>
        <v>527867.8224788345</v>
      </c>
      <c r="M185" s="239">
        <f aca="true" t="shared" si="33" ref="M185:M248">IF(A185="","",G185+F185)</f>
        <v>762</v>
      </c>
      <c r="N185" s="240">
        <f t="shared" si="27"/>
        <v>0.0969</v>
      </c>
      <c r="O185" s="85">
        <f t="shared" si="28"/>
        <v>393.1034482758621</v>
      </c>
      <c r="P185" s="85">
        <f t="shared" si="26"/>
        <v>13617.743183924464</v>
      </c>
    </row>
    <row r="186" spans="1:16" ht="12.75">
      <c r="A186" s="223">
        <f aca="true" t="shared" si="34" ref="A186:A249">IF(A185="","",IF((B185-C185)&lt;0.01,"",A185+1))</f>
        <v>130</v>
      </c>
      <c r="B186" s="224">
        <f aca="true" t="shared" si="35" ref="B186:B249">IF(A186="","",(B185-C185-J185-K185))</f>
        <v>527867.8224788345</v>
      </c>
      <c r="C186" s="224">
        <f aca="true" t="shared" si="36" ref="C186:C249">IF(A186="","",E186-D186)</f>
        <v>8406.107069132016</v>
      </c>
      <c r="D186" s="235">
        <f t="shared" si="29"/>
        <v>4262.532666516589</v>
      </c>
      <c r="E186" s="224">
        <f t="shared" si="30"/>
        <v>12668.639735648607</v>
      </c>
      <c r="F186" s="224">
        <f aca="true" t="shared" si="37" ref="F186:F249">IF(A186="","",F185)</f>
        <v>306</v>
      </c>
      <c r="G186" s="224">
        <f aca="true" t="shared" si="38" ref="G186:G249">IF(A186="","",G185)</f>
        <v>456</v>
      </c>
      <c r="H186" s="224">
        <f aca="true" t="shared" si="39" ref="H186:H249">IF(A186="","",H185)</f>
        <v>290</v>
      </c>
      <c r="I186" s="224">
        <f t="shared" si="31"/>
        <v>13720.639735648607</v>
      </c>
      <c r="J186" s="236"/>
      <c r="K186" s="228"/>
      <c r="L186" s="238">
        <f t="shared" si="32"/>
        <v>519461.7154097025</v>
      </c>
      <c r="M186" s="239">
        <f t="shared" si="33"/>
        <v>762</v>
      </c>
      <c r="N186" s="240">
        <f t="shared" si="27"/>
        <v>0.0969</v>
      </c>
      <c r="O186" s="85">
        <f t="shared" si="28"/>
        <v>393.1034482758621</v>
      </c>
      <c r="P186" s="85">
        <f aca="true" t="shared" si="40" ref="P186:P249">IF(A186="","",E186+F186+O186+H186/1.16)</f>
        <v>13617.74318392447</v>
      </c>
    </row>
    <row r="187" spans="1:16" ht="12.75">
      <c r="A187" s="223">
        <f t="shared" si="34"/>
        <v>131</v>
      </c>
      <c r="B187" s="224">
        <f t="shared" si="35"/>
        <v>519461.7154097025</v>
      </c>
      <c r="C187" s="224">
        <f t="shared" si="36"/>
        <v>8473.986383715253</v>
      </c>
      <c r="D187" s="235">
        <f t="shared" si="29"/>
        <v>4194.653351933348</v>
      </c>
      <c r="E187" s="224">
        <f t="shared" si="30"/>
        <v>12668.639735648601</v>
      </c>
      <c r="F187" s="224">
        <f t="shared" si="37"/>
        <v>306</v>
      </c>
      <c r="G187" s="224">
        <f t="shared" si="38"/>
        <v>456</v>
      </c>
      <c r="H187" s="224">
        <f t="shared" si="39"/>
        <v>290</v>
      </c>
      <c r="I187" s="224">
        <f t="shared" si="31"/>
        <v>13720.639735648601</v>
      </c>
      <c r="J187" s="236"/>
      <c r="K187" s="228"/>
      <c r="L187" s="238">
        <f t="shared" si="32"/>
        <v>510987.72902598727</v>
      </c>
      <c r="M187" s="239">
        <f t="shared" si="33"/>
        <v>762</v>
      </c>
      <c r="N187" s="240">
        <f aca="true" t="shared" si="41" ref="N187:N250">IF(A187="","",$C$17)</f>
        <v>0.0969</v>
      </c>
      <c r="O187" s="85">
        <f aca="true" t="shared" si="42" ref="O187:O250">IF(A187="","",G186/1.16)</f>
        <v>393.1034482758621</v>
      </c>
      <c r="P187" s="85">
        <f t="shared" si="40"/>
        <v>13617.743183924464</v>
      </c>
    </row>
    <row r="188" spans="1:16" ht="12.75">
      <c r="A188" s="223">
        <f t="shared" si="34"/>
        <v>132</v>
      </c>
      <c r="B188" s="224">
        <f t="shared" si="35"/>
        <v>510987.72902598727</v>
      </c>
      <c r="C188" s="224">
        <f t="shared" si="36"/>
        <v>8542.413823763756</v>
      </c>
      <c r="D188" s="235">
        <f t="shared" si="29"/>
        <v>4126.225911884847</v>
      </c>
      <c r="E188" s="224">
        <f t="shared" si="30"/>
        <v>12668.639735648603</v>
      </c>
      <c r="F188" s="224">
        <f t="shared" si="37"/>
        <v>306</v>
      </c>
      <c r="G188" s="224">
        <f t="shared" si="38"/>
        <v>456</v>
      </c>
      <c r="H188" s="224">
        <f t="shared" si="39"/>
        <v>290</v>
      </c>
      <c r="I188" s="224">
        <f t="shared" si="31"/>
        <v>13720.639735648603</v>
      </c>
      <c r="J188" s="236"/>
      <c r="K188" s="228"/>
      <c r="L188" s="238">
        <f t="shared" si="32"/>
        <v>502445.3152022235</v>
      </c>
      <c r="M188" s="239">
        <f t="shared" si="33"/>
        <v>762</v>
      </c>
      <c r="N188" s="240">
        <f t="shared" si="41"/>
        <v>0.0969</v>
      </c>
      <c r="O188" s="85">
        <f t="shared" si="42"/>
        <v>393.1034482758621</v>
      </c>
      <c r="P188" s="85">
        <f t="shared" si="40"/>
        <v>13617.743183924465</v>
      </c>
    </row>
    <row r="189" spans="1:16" ht="12.75">
      <c r="A189" s="223">
        <f t="shared" si="34"/>
        <v>133</v>
      </c>
      <c r="B189" s="224">
        <f t="shared" si="35"/>
        <v>502445.3152022235</v>
      </c>
      <c r="C189" s="224">
        <f t="shared" si="36"/>
        <v>8611.393815390647</v>
      </c>
      <c r="D189" s="235">
        <f t="shared" si="29"/>
        <v>4057.2459202579544</v>
      </c>
      <c r="E189" s="224">
        <f t="shared" si="30"/>
        <v>12668.639735648601</v>
      </c>
      <c r="F189" s="224">
        <f t="shared" si="37"/>
        <v>306</v>
      </c>
      <c r="G189" s="224">
        <f t="shared" si="38"/>
        <v>456</v>
      </c>
      <c r="H189" s="224">
        <f t="shared" si="39"/>
        <v>290</v>
      </c>
      <c r="I189" s="224">
        <f t="shared" si="31"/>
        <v>13720.639735648601</v>
      </c>
      <c r="J189" s="236"/>
      <c r="K189" s="228"/>
      <c r="L189" s="238">
        <f t="shared" si="32"/>
        <v>493833.92138683284</v>
      </c>
      <c r="M189" s="239">
        <f t="shared" si="33"/>
        <v>762</v>
      </c>
      <c r="N189" s="240">
        <f t="shared" si="41"/>
        <v>0.0969</v>
      </c>
      <c r="O189" s="85">
        <f t="shared" si="42"/>
        <v>393.1034482758621</v>
      </c>
      <c r="P189" s="85">
        <f t="shared" si="40"/>
        <v>13617.743183924464</v>
      </c>
    </row>
    <row r="190" spans="1:16" ht="12.75">
      <c r="A190" s="223">
        <f t="shared" si="34"/>
        <v>134</v>
      </c>
      <c r="B190" s="224">
        <f t="shared" si="35"/>
        <v>493833.92138683284</v>
      </c>
      <c r="C190" s="224">
        <f t="shared" si="36"/>
        <v>8680.930820449927</v>
      </c>
      <c r="D190" s="235">
        <f t="shared" si="29"/>
        <v>3987.708915198675</v>
      </c>
      <c r="E190" s="224">
        <f t="shared" si="30"/>
        <v>12668.639735648601</v>
      </c>
      <c r="F190" s="224">
        <f t="shared" si="37"/>
        <v>306</v>
      </c>
      <c r="G190" s="224">
        <f t="shared" si="38"/>
        <v>456</v>
      </c>
      <c r="H190" s="224">
        <f t="shared" si="39"/>
        <v>290</v>
      </c>
      <c r="I190" s="224">
        <f t="shared" si="31"/>
        <v>13720.639735648601</v>
      </c>
      <c r="J190" s="236"/>
      <c r="K190" s="228"/>
      <c r="L190" s="238">
        <f t="shared" si="32"/>
        <v>485152.9905663829</v>
      </c>
      <c r="M190" s="239">
        <f t="shared" si="33"/>
        <v>762</v>
      </c>
      <c r="N190" s="240">
        <f t="shared" si="41"/>
        <v>0.0969</v>
      </c>
      <c r="O190" s="85">
        <f t="shared" si="42"/>
        <v>393.1034482758621</v>
      </c>
      <c r="P190" s="85">
        <f t="shared" si="40"/>
        <v>13617.743183924464</v>
      </c>
    </row>
    <row r="191" spans="1:16" ht="12.75">
      <c r="A191" s="223">
        <f t="shared" si="34"/>
        <v>135</v>
      </c>
      <c r="B191" s="224">
        <f t="shared" si="35"/>
        <v>485152.9905663829</v>
      </c>
      <c r="C191" s="224">
        <f t="shared" si="36"/>
        <v>8751.02933682506</v>
      </c>
      <c r="D191" s="235">
        <f t="shared" si="29"/>
        <v>3917.6103988235413</v>
      </c>
      <c r="E191" s="224">
        <f t="shared" si="30"/>
        <v>12668.639735648601</v>
      </c>
      <c r="F191" s="224">
        <f t="shared" si="37"/>
        <v>306</v>
      </c>
      <c r="G191" s="224">
        <f t="shared" si="38"/>
        <v>456</v>
      </c>
      <c r="H191" s="224">
        <f t="shared" si="39"/>
        <v>290</v>
      </c>
      <c r="I191" s="224">
        <f t="shared" si="31"/>
        <v>13720.639735648601</v>
      </c>
      <c r="J191" s="236"/>
      <c r="K191" s="228"/>
      <c r="L191" s="238">
        <f t="shared" si="32"/>
        <v>476401.9612295578</v>
      </c>
      <c r="M191" s="239">
        <f t="shared" si="33"/>
        <v>762</v>
      </c>
      <c r="N191" s="240">
        <f t="shared" si="41"/>
        <v>0.0969</v>
      </c>
      <c r="O191" s="85">
        <f t="shared" si="42"/>
        <v>393.1034482758621</v>
      </c>
      <c r="P191" s="85">
        <f t="shared" si="40"/>
        <v>13617.743183924464</v>
      </c>
    </row>
    <row r="192" spans="1:16" ht="12.75">
      <c r="A192" s="223">
        <f t="shared" si="34"/>
        <v>136</v>
      </c>
      <c r="B192" s="224">
        <f t="shared" si="35"/>
        <v>476401.9612295578</v>
      </c>
      <c r="C192" s="224">
        <f t="shared" si="36"/>
        <v>8821.693898719923</v>
      </c>
      <c r="D192" s="235">
        <f t="shared" si="29"/>
        <v>3846.945836928679</v>
      </c>
      <c r="E192" s="224">
        <f t="shared" si="30"/>
        <v>12668.639735648601</v>
      </c>
      <c r="F192" s="224">
        <f t="shared" si="37"/>
        <v>306</v>
      </c>
      <c r="G192" s="224">
        <f t="shared" si="38"/>
        <v>456</v>
      </c>
      <c r="H192" s="224">
        <f t="shared" si="39"/>
        <v>290</v>
      </c>
      <c r="I192" s="224">
        <f t="shared" si="31"/>
        <v>13720.639735648601</v>
      </c>
      <c r="J192" s="236"/>
      <c r="K192" s="228"/>
      <c r="L192" s="238">
        <f t="shared" si="32"/>
        <v>467580.2673308379</v>
      </c>
      <c r="M192" s="239">
        <f t="shared" si="33"/>
        <v>762</v>
      </c>
      <c r="N192" s="240">
        <f t="shared" si="41"/>
        <v>0.0969</v>
      </c>
      <c r="O192" s="85">
        <f t="shared" si="42"/>
        <v>393.1034482758621</v>
      </c>
      <c r="P192" s="85">
        <f t="shared" si="40"/>
        <v>13617.743183924464</v>
      </c>
    </row>
    <row r="193" spans="1:16" ht="12.75">
      <c r="A193" s="223">
        <f t="shared" si="34"/>
        <v>137</v>
      </c>
      <c r="B193" s="224">
        <f t="shared" si="35"/>
        <v>467580.2673308379</v>
      </c>
      <c r="C193" s="224">
        <f t="shared" si="36"/>
        <v>8892.929076952087</v>
      </c>
      <c r="D193" s="235">
        <f t="shared" si="29"/>
        <v>3775.710658696516</v>
      </c>
      <c r="E193" s="224">
        <f t="shared" si="30"/>
        <v>12668.639735648603</v>
      </c>
      <c r="F193" s="224">
        <f t="shared" si="37"/>
        <v>306</v>
      </c>
      <c r="G193" s="224">
        <f t="shared" si="38"/>
        <v>456</v>
      </c>
      <c r="H193" s="224">
        <f t="shared" si="39"/>
        <v>290</v>
      </c>
      <c r="I193" s="224">
        <f t="shared" si="31"/>
        <v>13720.639735648603</v>
      </c>
      <c r="J193" s="236"/>
      <c r="K193" s="228"/>
      <c r="L193" s="238">
        <f t="shared" si="32"/>
        <v>458687.3382538858</v>
      </c>
      <c r="M193" s="239">
        <f t="shared" si="33"/>
        <v>762</v>
      </c>
      <c r="N193" s="240">
        <f t="shared" si="41"/>
        <v>0.0969</v>
      </c>
      <c r="O193" s="85">
        <f t="shared" si="42"/>
        <v>393.1034482758621</v>
      </c>
      <c r="P193" s="85">
        <f t="shared" si="40"/>
        <v>13617.743183924465</v>
      </c>
    </row>
    <row r="194" spans="1:16" ht="12.75">
      <c r="A194" s="223">
        <f t="shared" si="34"/>
        <v>138</v>
      </c>
      <c r="B194" s="224">
        <f t="shared" si="35"/>
        <v>458687.3382538858</v>
      </c>
      <c r="C194" s="224">
        <f t="shared" si="36"/>
        <v>8964.739479248474</v>
      </c>
      <c r="D194" s="235">
        <f t="shared" si="29"/>
        <v>3703.9002564001275</v>
      </c>
      <c r="E194" s="224">
        <f t="shared" si="30"/>
        <v>12668.639735648601</v>
      </c>
      <c r="F194" s="224">
        <f t="shared" si="37"/>
        <v>306</v>
      </c>
      <c r="G194" s="224">
        <f t="shared" si="38"/>
        <v>456</v>
      </c>
      <c r="H194" s="224">
        <f t="shared" si="39"/>
        <v>290</v>
      </c>
      <c r="I194" s="224">
        <f t="shared" si="31"/>
        <v>13720.639735648601</v>
      </c>
      <c r="J194" s="236"/>
      <c r="K194" s="228"/>
      <c r="L194" s="238">
        <f t="shared" si="32"/>
        <v>449722.5987746373</v>
      </c>
      <c r="M194" s="239">
        <f t="shared" si="33"/>
        <v>762</v>
      </c>
      <c r="N194" s="240">
        <f t="shared" si="41"/>
        <v>0.0969</v>
      </c>
      <c r="O194" s="85">
        <f t="shared" si="42"/>
        <v>393.1034482758621</v>
      </c>
      <c r="P194" s="85">
        <f t="shared" si="40"/>
        <v>13617.743183924464</v>
      </c>
    </row>
    <row r="195" spans="1:16" ht="12.75">
      <c r="A195" s="223">
        <f t="shared" si="34"/>
        <v>139</v>
      </c>
      <c r="B195" s="224">
        <f t="shared" si="35"/>
        <v>449722.5987746373</v>
      </c>
      <c r="C195" s="224">
        <f t="shared" si="36"/>
        <v>9037.129750543403</v>
      </c>
      <c r="D195" s="235">
        <f t="shared" si="29"/>
        <v>3631.5099851051964</v>
      </c>
      <c r="E195" s="224">
        <f t="shared" si="30"/>
        <v>12668.6397356486</v>
      </c>
      <c r="F195" s="224">
        <f t="shared" si="37"/>
        <v>306</v>
      </c>
      <c r="G195" s="224">
        <f t="shared" si="38"/>
        <v>456</v>
      </c>
      <c r="H195" s="224">
        <f t="shared" si="39"/>
        <v>290</v>
      </c>
      <c r="I195" s="224">
        <f t="shared" si="31"/>
        <v>13720.6397356486</v>
      </c>
      <c r="J195" s="236"/>
      <c r="K195" s="228"/>
      <c r="L195" s="238">
        <f t="shared" si="32"/>
        <v>440685.46902409394</v>
      </c>
      <c r="M195" s="239">
        <f t="shared" si="33"/>
        <v>762</v>
      </c>
      <c r="N195" s="240">
        <f t="shared" si="41"/>
        <v>0.0969</v>
      </c>
      <c r="O195" s="85">
        <f t="shared" si="42"/>
        <v>393.1034482758621</v>
      </c>
      <c r="P195" s="85">
        <f t="shared" si="40"/>
        <v>13617.743183924462</v>
      </c>
    </row>
    <row r="196" spans="1:16" ht="12.75">
      <c r="A196" s="223">
        <f t="shared" si="34"/>
        <v>140</v>
      </c>
      <c r="B196" s="224">
        <f t="shared" si="35"/>
        <v>440685.46902409394</v>
      </c>
      <c r="C196" s="224">
        <f t="shared" si="36"/>
        <v>9110.104573279043</v>
      </c>
      <c r="D196" s="235">
        <f t="shared" si="29"/>
        <v>3558.5351623695587</v>
      </c>
      <c r="E196" s="224">
        <f t="shared" si="30"/>
        <v>12668.639735648601</v>
      </c>
      <c r="F196" s="224">
        <f t="shared" si="37"/>
        <v>306</v>
      </c>
      <c r="G196" s="224">
        <f t="shared" si="38"/>
        <v>456</v>
      </c>
      <c r="H196" s="224">
        <f t="shared" si="39"/>
        <v>290</v>
      </c>
      <c r="I196" s="224">
        <f t="shared" si="31"/>
        <v>13720.639735648601</v>
      </c>
      <c r="J196" s="236"/>
      <c r="K196" s="228"/>
      <c r="L196" s="238">
        <f t="shared" si="32"/>
        <v>431575.3644508149</v>
      </c>
      <c r="M196" s="239">
        <f t="shared" si="33"/>
        <v>762</v>
      </c>
      <c r="N196" s="240">
        <f t="shared" si="41"/>
        <v>0.0969</v>
      </c>
      <c r="O196" s="85">
        <f t="shared" si="42"/>
        <v>393.1034482758621</v>
      </c>
      <c r="P196" s="85">
        <f t="shared" si="40"/>
        <v>13617.743183924464</v>
      </c>
    </row>
    <row r="197" spans="1:16" ht="12.75">
      <c r="A197" s="223">
        <f t="shared" si="34"/>
        <v>141</v>
      </c>
      <c r="B197" s="224">
        <f t="shared" si="35"/>
        <v>431575.3644508149</v>
      </c>
      <c r="C197" s="224">
        <f t="shared" si="36"/>
        <v>9183.66866770827</v>
      </c>
      <c r="D197" s="235">
        <f t="shared" si="29"/>
        <v>3484.9710679403306</v>
      </c>
      <c r="E197" s="224">
        <f t="shared" si="30"/>
        <v>12668.639735648601</v>
      </c>
      <c r="F197" s="224">
        <f t="shared" si="37"/>
        <v>306</v>
      </c>
      <c r="G197" s="224">
        <f t="shared" si="38"/>
        <v>456</v>
      </c>
      <c r="H197" s="224">
        <f t="shared" si="39"/>
        <v>290</v>
      </c>
      <c r="I197" s="224">
        <f t="shared" si="31"/>
        <v>13720.639735648601</v>
      </c>
      <c r="J197" s="236"/>
      <c r="K197" s="228"/>
      <c r="L197" s="238">
        <f t="shared" si="32"/>
        <v>422391.6957831066</v>
      </c>
      <c r="M197" s="239">
        <f t="shared" si="33"/>
        <v>762</v>
      </c>
      <c r="N197" s="240">
        <f t="shared" si="41"/>
        <v>0.0969</v>
      </c>
      <c r="O197" s="85">
        <f t="shared" si="42"/>
        <v>393.1034482758621</v>
      </c>
      <c r="P197" s="85">
        <f t="shared" si="40"/>
        <v>13617.743183924464</v>
      </c>
    </row>
    <row r="198" spans="1:16" ht="12.75">
      <c r="A198" s="223">
        <f t="shared" si="34"/>
        <v>142</v>
      </c>
      <c r="B198" s="224">
        <f t="shared" si="35"/>
        <v>422391.6957831066</v>
      </c>
      <c r="C198" s="224">
        <f t="shared" si="36"/>
        <v>9257.826792200014</v>
      </c>
      <c r="D198" s="235">
        <f t="shared" si="29"/>
        <v>3410.812943448586</v>
      </c>
      <c r="E198" s="224">
        <f t="shared" si="30"/>
        <v>12668.6397356486</v>
      </c>
      <c r="F198" s="224">
        <f t="shared" si="37"/>
        <v>306</v>
      </c>
      <c r="G198" s="224">
        <f t="shared" si="38"/>
        <v>456</v>
      </c>
      <c r="H198" s="224">
        <f t="shared" si="39"/>
        <v>290</v>
      </c>
      <c r="I198" s="224">
        <f t="shared" si="31"/>
        <v>13720.6397356486</v>
      </c>
      <c r="J198" s="236"/>
      <c r="K198" s="228"/>
      <c r="L198" s="238">
        <f t="shared" si="32"/>
        <v>413133.8689909066</v>
      </c>
      <c r="M198" s="239">
        <f t="shared" si="33"/>
        <v>762</v>
      </c>
      <c r="N198" s="240">
        <f t="shared" si="41"/>
        <v>0.0969</v>
      </c>
      <c r="O198" s="85">
        <f t="shared" si="42"/>
        <v>393.1034482758621</v>
      </c>
      <c r="P198" s="85">
        <f t="shared" si="40"/>
        <v>13617.743183924462</v>
      </c>
    </row>
    <row r="199" spans="1:16" ht="12.75">
      <c r="A199" s="223">
        <f t="shared" si="34"/>
        <v>143</v>
      </c>
      <c r="B199" s="224">
        <f t="shared" si="35"/>
        <v>413133.8689909066</v>
      </c>
      <c r="C199" s="224">
        <f t="shared" si="36"/>
        <v>9332.583743547031</v>
      </c>
      <c r="D199" s="235">
        <f t="shared" si="29"/>
        <v>3336.0559921015706</v>
      </c>
      <c r="E199" s="224">
        <f t="shared" si="30"/>
        <v>12668.639735648601</v>
      </c>
      <c r="F199" s="224">
        <f t="shared" si="37"/>
        <v>306</v>
      </c>
      <c r="G199" s="224">
        <f t="shared" si="38"/>
        <v>456</v>
      </c>
      <c r="H199" s="224">
        <f t="shared" si="39"/>
        <v>290</v>
      </c>
      <c r="I199" s="224">
        <f t="shared" si="31"/>
        <v>13720.639735648601</v>
      </c>
      <c r="J199" s="236"/>
      <c r="K199" s="228"/>
      <c r="L199" s="238">
        <f t="shared" si="32"/>
        <v>403801.28524735954</v>
      </c>
      <c r="M199" s="239">
        <f t="shared" si="33"/>
        <v>762</v>
      </c>
      <c r="N199" s="240">
        <f t="shared" si="41"/>
        <v>0.0969</v>
      </c>
      <c r="O199" s="85">
        <f t="shared" si="42"/>
        <v>393.1034482758621</v>
      </c>
      <c r="P199" s="85">
        <f t="shared" si="40"/>
        <v>13617.743183924464</v>
      </c>
    </row>
    <row r="200" spans="1:16" ht="12.75">
      <c r="A200" s="223">
        <f t="shared" si="34"/>
        <v>144</v>
      </c>
      <c r="B200" s="224">
        <f t="shared" si="35"/>
        <v>403801.28524735954</v>
      </c>
      <c r="C200" s="224">
        <f t="shared" si="36"/>
        <v>9407.944357276172</v>
      </c>
      <c r="D200" s="235">
        <f t="shared" si="29"/>
        <v>3260.695378372428</v>
      </c>
      <c r="E200" s="224">
        <f t="shared" si="30"/>
        <v>12668.6397356486</v>
      </c>
      <c r="F200" s="224">
        <f t="shared" si="37"/>
        <v>306</v>
      </c>
      <c r="G200" s="224">
        <f t="shared" si="38"/>
        <v>456</v>
      </c>
      <c r="H200" s="224">
        <f t="shared" si="39"/>
        <v>290</v>
      </c>
      <c r="I200" s="224">
        <f t="shared" si="31"/>
        <v>13720.6397356486</v>
      </c>
      <c r="J200" s="236"/>
      <c r="K200" s="228"/>
      <c r="L200" s="238">
        <f t="shared" si="32"/>
        <v>394393.34089008335</v>
      </c>
      <c r="M200" s="239">
        <f t="shared" si="33"/>
        <v>762</v>
      </c>
      <c r="N200" s="240">
        <f t="shared" si="41"/>
        <v>0.0969</v>
      </c>
      <c r="O200" s="85">
        <f t="shared" si="42"/>
        <v>393.1034482758621</v>
      </c>
      <c r="P200" s="85">
        <f t="shared" si="40"/>
        <v>13617.743183924462</v>
      </c>
    </row>
    <row r="201" spans="1:16" ht="12.75">
      <c r="A201" s="223">
        <f t="shared" si="34"/>
        <v>145</v>
      </c>
      <c r="B201" s="224">
        <f t="shared" si="35"/>
        <v>394393.34089008335</v>
      </c>
      <c r="C201" s="224">
        <f t="shared" si="36"/>
        <v>9483.913507961175</v>
      </c>
      <c r="D201" s="235">
        <f t="shared" si="29"/>
        <v>3184.726227687423</v>
      </c>
      <c r="E201" s="224">
        <f t="shared" si="30"/>
        <v>12668.639735648598</v>
      </c>
      <c r="F201" s="224">
        <f t="shared" si="37"/>
        <v>306</v>
      </c>
      <c r="G201" s="224">
        <f t="shared" si="38"/>
        <v>456</v>
      </c>
      <c r="H201" s="224">
        <f t="shared" si="39"/>
        <v>290</v>
      </c>
      <c r="I201" s="224">
        <f t="shared" si="31"/>
        <v>13720.639735648598</v>
      </c>
      <c r="J201" s="236"/>
      <c r="K201" s="228"/>
      <c r="L201" s="238">
        <f t="shared" si="32"/>
        <v>384909.42738212214</v>
      </c>
      <c r="M201" s="239">
        <f t="shared" si="33"/>
        <v>762</v>
      </c>
      <c r="N201" s="240">
        <f t="shared" si="41"/>
        <v>0.0969</v>
      </c>
      <c r="O201" s="85">
        <f t="shared" si="42"/>
        <v>393.1034482758621</v>
      </c>
      <c r="P201" s="85">
        <f t="shared" si="40"/>
        <v>13617.74318392446</v>
      </c>
    </row>
    <row r="202" spans="1:16" ht="12.75">
      <c r="A202" s="223">
        <f t="shared" si="34"/>
        <v>146</v>
      </c>
      <c r="B202" s="224">
        <f t="shared" si="35"/>
        <v>384909.42738212214</v>
      </c>
      <c r="C202" s="224">
        <f t="shared" si="36"/>
        <v>9560.496109537964</v>
      </c>
      <c r="D202" s="235">
        <f t="shared" si="29"/>
        <v>3108.143626110636</v>
      </c>
      <c r="E202" s="224">
        <f t="shared" si="30"/>
        <v>12668.6397356486</v>
      </c>
      <c r="F202" s="224">
        <f t="shared" si="37"/>
        <v>306</v>
      </c>
      <c r="G202" s="224">
        <f t="shared" si="38"/>
        <v>456</v>
      </c>
      <c r="H202" s="224">
        <f t="shared" si="39"/>
        <v>290</v>
      </c>
      <c r="I202" s="224">
        <f t="shared" si="31"/>
        <v>13720.6397356486</v>
      </c>
      <c r="J202" s="236"/>
      <c r="K202" s="228"/>
      <c r="L202" s="238">
        <f t="shared" si="32"/>
        <v>375348.9312725842</v>
      </c>
      <c r="M202" s="239">
        <f t="shared" si="33"/>
        <v>762</v>
      </c>
      <c r="N202" s="240">
        <f t="shared" si="41"/>
        <v>0.0969</v>
      </c>
      <c r="O202" s="85">
        <f t="shared" si="42"/>
        <v>393.1034482758621</v>
      </c>
      <c r="P202" s="85">
        <f t="shared" si="40"/>
        <v>13617.743183924462</v>
      </c>
    </row>
    <row r="203" spans="1:16" ht="12.75">
      <c r="A203" s="223">
        <f t="shared" si="34"/>
        <v>147</v>
      </c>
      <c r="B203" s="224">
        <f t="shared" si="35"/>
        <v>375348.9312725842</v>
      </c>
      <c r="C203" s="224">
        <f t="shared" si="36"/>
        <v>9637.69711562248</v>
      </c>
      <c r="D203" s="235">
        <f t="shared" si="29"/>
        <v>3030.9426200261173</v>
      </c>
      <c r="E203" s="224">
        <f t="shared" si="30"/>
        <v>12668.639735648598</v>
      </c>
      <c r="F203" s="224">
        <f t="shared" si="37"/>
        <v>306</v>
      </c>
      <c r="G203" s="224">
        <f t="shared" si="38"/>
        <v>456</v>
      </c>
      <c r="H203" s="224">
        <f t="shared" si="39"/>
        <v>290</v>
      </c>
      <c r="I203" s="224">
        <f t="shared" si="31"/>
        <v>13720.639735648598</v>
      </c>
      <c r="J203" s="236"/>
      <c r="K203" s="228"/>
      <c r="L203" s="238">
        <f t="shared" si="32"/>
        <v>365711.2341569617</v>
      </c>
      <c r="M203" s="239">
        <f t="shared" si="33"/>
        <v>762</v>
      </c>
      <c r="N203" s="240">
        <f t="shared" si="41"/>
        <v>0.0969</v>
      </c>
      <c r="O203" s="85">
        <f t="shared" si="42"/>
        <v>393.1034482758621</v>
      </c>
      <c r="P203" s="85">
        <f t="shared" si="40"/>
        <v>13617.74318392446</v>
      </c>
    </row>
    <row r="204" spans="1:16" ht="12.75">
      <c r="A204" s="223">
        <f t="shared" si="34"/>
        <v>148</v>
      </c>
      <c r="B204" s="224">
        <f t="shared" si="35"/>
        <v>365711.2341569617</v>
      </c>
      <c r="C204" s="224">
        <f t="shared" si="36"/>
        <v>9715.521519831136</v>
      </c>
      <c r="D204" s="235">
        <f t="shared" si="29"/>
        <v>2953.1182158174656</v>
      </c>
      <c r="E204" s="224">
        <f t="shared" si="30"/>
        <v>12668.639735648601</v>
      </c>
      <c r="F204" s="224">
        <f t="shared" si="37"/>
        <v>306</v>
      </c>
      <c r="G204" s="224">
        <f t="shared" si="38"/>
        <v>456</v>
      </c>
      <c r="H204" s="224">
        <f t="shared" si="39"/>
        <v>290</v>
      </c>
      <c r="I204" s="224">
        <f t="shared" si="31"/>
        <v>13720.639735648601</v>
      </c>
      <c r="J204" s="236"/>
      <c r="K204" s="228"/>
      <c r="L204" s="238">
        <f t="shared" si="32"/>
        <v>355995.7126371306</v>
      </c>
      <c r="M204" s="239">
        <f t="shared" si="33"/>
        <v>762</v>
      </c>
      <c r="N204" s="240">
        <f t="shared" si="41"/>
        <v>0.0969</v>
      </c>
      <c r="O204" s="85">
        <f t="shared" si="42"/>
        <v>393.1034482758621</v>
      </c>
      <c r="P204" s="85">
        <f t="shared" si="40"/>
        <v>13617.743183924464</v>
      </c>
    </row>
    <row r="205" spans="1:16" ht="12.75">
      <c r="A205" s="223">
        <f t="shared" si="34"/>
        <v>149</v>
      </c>
      <c r="B205" s="224">
        <f t="shared" si="35"/>
        <v>355995.7126371306</v>
      </c>
      <c r="C205" s="224">
        <f t="shared" si="36"/>
        <v>9793.974356103772</v>
      </c>
      <c r="D205" s="235">
        <f t="shared" si="29"/>
        <v>2874.665379544829</v>
      </c>
      <c r="E205" s="224">
        <f t="shared" si="30"/>
        <v>12668.639735648601</v>
      </c>
      <c r="F205" s="224">
        <f t="shared" si="37"/>
        <v>306</v>
      </c>
      <c r="G205" s="224">
        <f t="shared" si="38"/>
        <v>456</v>
      </c>
      <c r="H205" s="224">
        <f t="shared" si="39"/>
        <v>290</v>
      </c>
      <c r="I205" s="224">
        <f t="shared" si="31"/>
        <v>13720.639735648601</v>
      </c>
      <c r="J205" s="236"/>
      <c r="K205" s="228"/>
      <c r="L205" s="238">
        <f t="shared" si="32"/>
        <v>346201.73828102683</v>
      </c>
      <c r="M205" s="239">
        <f t="shared" si="33"/>
        <v>762</v>
      </c>
      <c r="N205" s="240">
        <f t="shared" si="41"/>
        <v>0.0969</v>
      </c>
      <c r="O205" s="85">
        <f t="shared" si="42"/>
        <v>393.1034482758621</v>
      </c>
      <c r="P205" s="85">
        <f t="shared" si="40"/>
        <v>13617.743183924464</v>
      </c>
    </row>
    <row r="206" spans="1:16" ht="12.75">
      <c r="A206" s="223">
        <f t="shared" si="34"/>
        <v>150</v>
      </c>
      <c r="B206" s="224">
        <f t="shared" si="35"/>
        <v>346201.73828102683</v>
      </c>
      <c r="C206" s="224">
        <f t="shared" si="36"/>
        <v>9873.060699029309</v>
      </c>
      <c r="D206" s="235">
        <f t="shared" si="29"/>
        <v>2795.579036619292</v>
      </c>
      <c r="E206" s="224">
        <f t="shared" si="30"/>
        <v>12668.639735648601</v>
      </c>
      <c r="F206" s="224">
        <f t="shared" si="37"/>
        <v>306</v>
      </c>
      <c r="G206" s="224">
        <f t="shared" si="38"/>
        <v>456</v>
      </c>
      <c r="H206" s="224">
        <f t="shared" si="39"/>
        <v>290</v>
      </c>
      <c r="I206" s="224">
        <f t="shared" si="31"/>
        <v>13720.639735648601</v>
      </c>
      <c r="J206" s="236"/>
      <c r="K206" s="228"/>
      <c r="L206" s="238">
        <f t="shared" si="32"/>
        <v>336328.67758199753</v>
      </c>
      <c r="M206" s="239">
        <f t="shared" si="33"/>
        <v>762</v>
      </c>
      <c r="N206" s="240">
        <f t="shared" si="41"/>
        <v>0.0969</v>
      </c>
      <c r="O206" s="85">
        <f t="shared" si="42"/>
        <v>393.1034482758621</v>
      </c>
      <c r="P206" s="85">
        <f t="shared" si="40"/>
        <v>13617.743183924464</v>
      </c>
    </row>
    <row r="207" spans="1:16" ht="12.75">
      <c r="A207" s="223">
        <f t="shared" si="34"/>
        <v>151</v>
      </c>
      <c r="B207" s="224">
        <f t="shared" si="35"/>
        <v>336328.67758199753</v>
      </c>
      <c r="C207" s="224">
        <f t="shared" si="36"/>
        <v>9952.78566417397</v>
      </c>
      <c r="D207" s="235">
        <f t="shared" si="29"/>
        <v>2715.85407147463</v>
      </c>
      <c r="E207" s="224">
        <f t="shared" si="30"/>
        <v>12668.639735648601</v>
      </c>
      <c r="F207" s="224">
        <f t="shared" si="37"/>
        <v>306</v>
      </c>
      <c r="G207" s="224">
        <f t="shared" si="38"/>
        <v>456</v>
      </c>
      <c r="H207" s="224">
        <f t="shared" si="39"/>
        <v>290</v>
      </c>
      <c r="I207" s="224">
        <f t="shared" si="31"/>
        <v>13720.639735648601</v>
      </c>
      <c r="J207" s="236"/>
      <c r="K207" s="228"/>
      <c r="L207" s="238">
        <f t="shared" si="32"/>
        <v>326375.8919178236</v>
      </c>
      <c r="M207" s="239">
        <f t="shared" si="33"/>
        <v>762</v>
      </c>
      <c r="N207" s="240">
        <f t="shared" si="41"/>
        <v>0.0969</v>
      </c>
      <c r="O207" s="85">
        <f t="shared" si="42"/>
        <v>393.1034482758621</v>
      </c>
      <c r="P207" s="85">
        <f t="shared" si="40"/>
        <v>13617.743183924464</v>
      </c>
    </row>
    <row r="208" spans="1:16" ht="12.75">
      <c r="A208" s="223">
        <f t="shared" si="34"/>
        <v>152</v>
      </c>
      <c r="B208" s="224">
        <f t="shared" si="35"/>
        <v>326375.8919178236</v>
      </c>
      <c r="C208" s="224">
        <f t="shared" si="36"/>
        <v>10033.154408412174</v>
      </c>
      <c r="D208" s="235">
        <f t="shared" si="29"/>
        <v>2635.4853272364253</v>
      </c>
      <c r="E208" s="224">
        <f t="shared" si="30"/>
        <v>12668.6397356486</v>
      </c>
      <c r="F208" s="224">
        <f t="shared" si="37"/>
        <v>306</v>
      </c>
      <c r="G208" s="224">
        <f t="shared" si="38"/>
        <v>456</v>
      </c>
      <c r="H208" s="224">
        <f t="shared" si="39"/>
        <v>290</v>
      </c>
      <c r="I208" s="224">
        <f t="shared" si="31"/>
        <v>13720.6397356486</v>
      </c>
      <c r="J208" s="236"/>
      <c r="K208" s="228"/>
      <c r="L208" s="238">
        <f t="shared" si="32"/>
        <v>316342.7375094114</v>
      </c>
      <c r="M208" s="239">
        <f t="shared" si="33"/>
        <v>762</v>
      </c>
      <c r="N208" s="240">
        <f t="shared" si="41"/>
        <v>0.0969</v>
      </c>
      <c r="O208" s="85">
        <f t="shared" si="42"/>
        <v>393.1034482758621</v>
      </c>
      <c r="P208" s="85">
        <f t="shared" si="40"/>
        <v>13617.743183924462</v>
      </c>
    </row>
    <row r="209" spans="1:16" ht="12.75">
      <c r="A209" s="223">
        <f t="shared" si="34"/>
        <v>153</v>
      </c>
      <c r="B209" s="224">
        <f t="shared" si="35"/>
        <v>316342.7375094114</v>
      </c>
      <c r="C209" s="224">
        <f t="shared" si="36"/>
        <v>10114.172130260104</v>
      </c>
      <c r="D209" s="235">
        <f t="shared" si="29"/>
        <v>2554.4676053884973</v>
      </c>
      <c r="E209" s="224">
        <f t="shared" si="30"/>
        <v>12668.639735648601</v>
      </c>
      <c r="F209" s="224">
        <f t="shared" si="37"/>
        <v>306</v>
      </c>
      <c r="G209" s="224">
        <f t="shared" si="38"/>
        <v>456</v>
      </c>
      <c r="H209" s="224">
        <f t="shared" si="39"/>
        <v>290</v>
      </c>
      <c r="I209" s="224">
        <f t="shared" si="31"/>
        <v>13720.639735648601</v>
      </c>
      <c r="J209" s="236"/>
      <c r="K209" s="228"/>
      <c r="L209" s="238">
        <f t="shared" si="32"/>
        <v>306228.5653791513</v>
      </c>
      <c r="M209" s="239">
        <f t="shared" si="33"/>
        <v>762</v>
      </c>
      <c r="N209" s="240">
        <f t="shared" si="41"/>
        <v>0.0969</v>
      </c>
      <c r="O209" s="85">
        <f t="shared" si="42"/>
        <v>393.1034482758621</v>
      </c>
      <c r="P209" s="85">
        <f t="shared" si="40"/>
        <v>13617.743183924464</v>
      </c>
    </row>
    <row r="210" spans="1:16" ht="12.75">
      <c r="A210" s="223">
        <f t="shared" si="34"/>
        <v>154</v>
      </c>
      <c r="B210" s="224">
        <f t="shared" si="35"/>
        <v>306228.5653791513</v>
      </c>
      <c r="C210" s="224">
        <f t="shared" si="36"/>
        <v>10195.844070211957</v>
      </c>
      <c r="D210" s="235">
        <f t="shared" si="29"/>
        <v>2472.7956654366467</v>
      </c>
      <c r="E210" s="224">
        <f t="shared" si="30"/>
        <v>12668.639735648603</v>
      </c>
      <c r="F210" s="224">
        <f t="shared" si="37"/>
        <v>306</v>
      </c>
      <c r="G210" s="224">
        <f t="shared" si="38"/>
        <v>456</v>
      </c>
      <c r="H210" s="224">
        <f t="shared" si="39"/>
        <v>290</v>
      </c>
      <c r="I210" s="224">
        <f t="shared" si="31"/>
        <v>13720.639735648603</v>
      </c>
      <c r="J210" s="236"/>
      <c r="K210" s="228"/>
      <c r="L210" s="238">
        <f t="shared" si="32"/>
        <v>296032.72130893933</v>
      </c>
      <c r="M210" s="239">
        <f t="shared" si="33"/>
        <v>762</v>
      </c>
      <c r="N210" s="240">
        <f t="shared" si="41"/>
        <v>0.0969</v>
      </c>
      <c r="O210" s="85">
        <f t="shared" si="42"/>
        <v>393.1034482758621</v>
      </c>
      <c r="P210" s="85">
        <f t="shared" si="40"/>
        <v>13617.743183924465</v>
      </c>
    </row>
    <row r="211" spans="1:16" ht="12.75">
      <c r="A211" s="223">
        <f t="shared" si="34"/>
        <v>155</v>
      </c>
      <c r="B211" s="224">
        <f t="shared" si="35"/>
        <v>296032.72130893933</v>
      </c>
      <c r="C211" s="224">
        <f t="shared" si="36"/>
        <v>10278.175511078916</v>
      </c>
      <c r="D211" s="235">
        <f t="shared" si="29"/>
        <v>2390.464224569685</v>
      </c>
      <c r="E211" s="224">
        <f t="shared" si="30"/>
        <v>12668.639735648601</v>
      </c>
      <c r="F211" s="224">
        <f t="shared" si="37"/>
        <v>306</v>
      </c>
      <c r="G211" s="224">
        <f t="shared" si="38"/>
        <v>456</v>
      </c>
      <c r="H211" s="224">
        <f t="shared" si="39"/>
        <v>290</v>
      </c>
      <c r="I211" s="224">
        <f t="shared" si="31"/>
        <v>13720.639735648601</v>
      </c>
      <c r="J211" s="236"/>
      <c r="K211" s="228"/>
      <c r="L211" s="238">
        <f t="shared" si="32"/>
        <v>285754.5457978604</v>
      </c>
      <c r="M211" s="239">
        <f t="shared" si="33"/>
        <v>762</v>
      </c>
      <c r="N211" s="240">
        <f t="shared" si="41"/>
        <v>0.0969</v>
      </c>
      <c r="O211" s="85">
        <f t="shared" si="42"/>
        <v>393.1034482758621</v>
      </c>
      <c r="P211" s="85">
        <f t="shared" si="40"/>
        <v>13617.743183924464</v>
      </c>
    </row>
    <row r="212" spans="1:16" ht="12.75">
      <c r="A212" s="223">
        <f t="shared" si="34"/>
        <v>156</v>
      </c>
      <c r="B212" s="224">
        <f t="shared" si="35"/>
        <v>285754.5457978604</v>
      </c>
      <c r="C212" s="224">
        <f t="shared" si="36"/>
        <v>10361.17177833088</v>
      </c>
      <c r="D212" s="235">
        <f t="shared" si="29"/>
        <v>2307.467957317723</v>
      </c>
      <c r="E212" s="224">
        <f t="shared" si="30"/>
        <v>12668.639735648603</v>
      </c>
      <c r="F212" s="224">
        <f t="shared" si="37"/>
        <v>306</v>
      </c>
      <c r="G212" s="224">
        <f t="shared" si="38"/>
        <v>456</v>
      </c>
      <c r="H212" s="224">
        <f t="shared" si="39"/>
        <v>290</v>
      </c>
      <c r="I212" s="224">
        <f t="shared" si="31"/>
        <v>13720.639735648603</v>
      </c>
      <c r="J212" s="236"/>
      <c r="K212" s="228"/>
      <c r="L212" s="238">
        <f t="shared" si="32"/>
        <v>275393.37401952955</v>
      </c>
      <c r="M212" s="239">
        <f t="shared" si="33"/>
        <v>762</v>
      </c>
      <c r="N212" s="240">
        <f t="shared" si="41"/>
        <v>0.0969</v>
      </c>
      <c r="O212" s="85">
        <f t="shared" si="42"/>
        <v>393.1034482758621</v>
      </c>
      <c r="P212" s="85">
        <f t="shared" si="40"/>
        <v>13617.743183924465</v>
      </c>
    </row>
    <row r="213" spans="1:16" ht="12.75">
      <c r="A213" s="223">
        <f t="shared" si="34"/>
        <v>157</v>
      </c>
      <c r="B213" s="224">
        <f t="shared" si="35"/>
        <v>275393.37401952955</v>
      </c>
      <c r="C213" s="224">
        <f t="shared" si="36"/>
        <v>10444.8382404409</v>
      </c>
      <c r="D213" s="235">
        <f t="shared" si="29"/>
        <v>2223.801495207701</v>
      </c>
      <c r="E213" s="224">
        <f t="shared" si="30"/>
        <v>12668.639735648601</v>
      </c>
      <c r="F213" s="224">
        <f t="shared" si="37"/>
        <v>306</v>
      </c>
      <c r="G213" s="224">
        <f t="shared" si="38"/>
        <v>456</v>
      </c>
      <c r="H213" s="224">
        <f t="shared" si="39"/>
        <v>290</v>
      </c>
      <c r="I213" s="224">
        <f t="shared" si="31"/>
        <v>13720.639735648601</v>
      </c>
      <c r="J213" s="236"/>
      <c r="K213" s="228"/>
      <c r="L213" s="238">
        <f t="shared" si="32"/>
        <v>264948.5357790887</v>
      </c>
      <c r="M213" s="239">
        <f t="shared" si="33"/>
        <v>762</v>
      </c>
      <c r="N213" s="240">
        <f t="shared" si="41"/>
        <v>0.0969</v>
      </c>
      <c r="O213" s="85">
        <f t="shared" si="42"/>
        <v>393.1034482758621</v>
      </c>
      <c r="P213" s="85">
        <f t="shared" si="40"/>
        <v>13617.743183924464</v>
      </c>
    </row>
    <row r="214" spans="1:16" ht="12.75">
      <c r="A214" s="223">
        <f t="shared" si="34"/>
        <v>158</v>
      </c>
      <c r="B214" s="224">
        <f t="shared" si="35"/>
        <v>264948.5357790887</v>
      </c>
      <c r="C214" s="224">
        <f t="shared" si="36"/>
        <v>10529.180309232466</v>
      </c>
      <c r="D214" s="235">
        <f t="shared" si="29"/>
        <v>2139.459426416141</v>
      </c>
      <c r="E214" s="224">
        <f t="shared" si="30"/>
        <v>12668.639735648607</v>
      </c>
      <c r="F214" s="224">
        <f t="shared" si="37"/>
        <v>306</v>
      </c>
      <c r="G214" s="224">
        <f t="shared" si="38"/>
        <v>456</v>
      </c>
      <c r="H214" s="224">
        <f t="shared" si="39"/>
        <v>290</v>
      </c>
      <c r="I214" s="224">
        <f t="shared" si="31"/>
        <v>13720.639735648607</v>
      </c>
      <c r="J214" s="236"/>
      <c r="K214" s="228"/>
      <c r="L214" s="238">
        <f t="shared" si="32"/>
        <v>254419.3554698562</v>
      </c>
      <c r="M214" s="239">
        <f t="shared" si="33"/>
        <v>762</v>
      </c>
      <c r="N214" s="240">
        <f t="shared" si="41"/>
        <v>0.0969</v>
      </c>
      <c r="O214" s="85">
        <f t="shared" si="42"/>
        <v>393.1034482758621</v>
      </c>
      <c r="P214" s="85">
        <f t="shared" si="40"/>
        <v>13617.74318392447</v>
      </c>
    </row>
    <row r="215" spans="1:16" ht="12.75">
      <c r="A215" s="223">
        <f t="shared" si="34"/>
        <v>159</v>
      </c>
      <c r="B215" s="224">
        <f t="shared" si="35"/>
        <v>254419.3554698562</v>
      </c>
      <c r="C215" s="224">
        <f t="shared" si="36"/>
        <v>10614.203440229514</v>
      </c>
      <c r="D215" s="235">
        <f t="shared" si="29"/>
        <v>2054.4362954190888</v>
      </c>
      <c r="E215" s="224">
        <f t="shared" si="30"/>
        <v>12668.639735648603</v>
      </c>
      <c r="F215" s="224">
        <f t="shared" si="37"/>
        <v>306</v>
      </c>
      <c r="G215" s="224">
        <f t="shared" si="38"/>
        <v>456</v>
      </c>
      <c r="H215" s="224">
        <f t="shared" si="39"/>
        <v>290</v>
      </c>
      <c r="I215" s="224">
        <f t="shared" si="31"/>
        <v>13720.639735648603</v>
      </c>
      <c r="J215" s="236"/>
      <c r="K215" s="228"/>
      <c r="L215" s="238">
        <f t="shared" si="32"/>
        <v>243805.15202962668</v>
      </c>
      <c r="M215" s="239">
        <f t="shared" si="33"/>
        <v>762</v>
      </c>
      <c r="N215" s="240">
        <f t="shared" si="41"/>
        <v>0.0969</v>
      </c>
      <c r="O215" s="85">
        <f t="shared" si="42"/>
        <v>393.1034482758621</v>
      </c>
      <c r="P215" s="85">
        <f t="shared" si="40"/>
        <v>13617.743183924465</v>
      </c>
    </row>
    <row r="216" spans="1:16" ht="12.75">
      <c r="A216" s="223">
        <f t="shared" si="34"/>
        <v>160</v>
      </c>
      <c r="B216" s="224">
        <f t="shared" si="35"/>
        <v>243805.15202962668</v>
      </c>
      <c r="C216" s="224">
        <f t="shared" si="36"/>
        <v>10699.913133009368</v>
      </c>
      <c r="D216" s="235">
        <f t="shared" si="29"/>
        <v>1968.7266026392354</v>
      </c>
      <c r="E216" s="224">
        <f t="shared" si="30"/>
        <v>12668.639735648603</v>
      </c>
      <c r="F216" s="224">
        <f t="shared" si="37"/>
        <v>306</v>
      </c>
      <c r="G216" s="224">
        <f t="shared" si="38"/>
        <v>456</v>
      </c>
      <c r="H216" s="224">
        <f t="shared" si="39"/>
        <v>290</v>
      </c>
      <c r="I216" s="224">
        <f t="shared" si="31"/>
        <v>13720.639735648603</v>
      </c>
      <c r="J216" s="236"/>
      <c r="K216" s="228"/>
      <c r="L216" s="238">
        <f t="shared" si="32"/>
        <v>233105.23889661732</v>
      </c>
      <c r="M216" s="239">
        <f t="shared" si="33"/>
        <v>762</v>
      </c>
      <c r="N216" s="240">
        <f t="shared" si="41"/>
        <v>0.0969</v>
      </c>
      <c r="O216" s="85">
        <f t="shared" si="42"/>
        <v>393.1034482758621</v>
      </c>
      <c r="P216" s="85">
        <f t="shared" si="40"/>
        <v>13617.743183924465</v>
      </c>
    </row>
    <row r="217" spans="1:16" ht="12.75">
      <c r="A217" s="223">
        <f t="shared" si="34"/>
        <v>161</v>
      </c>
      <c r="B217" s="224">
        <f t="shared" si="35"/>
        <v>233105.23889661732</v>
      </c>
      <c r="C217" s="224">
        <f t="shared" si="36"/>
        <v>10786.314931558418</v>
      </c>
      <c r="D217" s="235">
        <f t="shared" si="29"/>
        <v>1882.3248040901847</v>
      </c>
      <c r="E217" s="224">
        <f t="shared" si="30"/>
        <v>12668.639735648603</v>
      </c>
      <c r="F217" s="224">
        <f t="shared" si="37"/>
        <v>306</v>
      </c>
      <c r="G217" s="224">
        <f t="shared" si="38"/>
        <v>456</v>
      </c>
      <c r="H217" s="224">
        <f t="shared" si="39"/>
        <v>290</v>
      </c>
      <c r="I217" s="224">
        <f t="shared" si="31"/>
        <v>13720.639735648603</v>
      </c>
      <c r="J217" s="236"/>
      <c r="K217" s="228"/>
      <c r="L217" s="238">
        <f t="shared" si="32"/>
        <v>222318.9239650589</v>
      </c>
      <c r="M217" s="239">
        <f t="shared" si="33"/>
        <v>762</v>
      </c>
      <c r="N217" s="240">
        <f t="shared" si="41"/>
        <v>0.0969</v>
      </c>
      <c r="O217" s="85">
        <f t="shared" si="42"/>
        <v>393.1034482758621</v>
      </c>
      <c r="P217" s="85">
        <f t="shared" si="40"/>
        <v>13617.743183924465</v>
      </c>
    </row>
    <row r="218" spans="1:16" ht="12.75">
      <c r="A218" s="223">
        <f t="shared" si="34"/>
        <v>162</v>
      </c>
      <c r="B218" s="224">
        <f t="shared" si="35"/>
        <v>222318.9239650589</v>
      </c>
      <c r="C218" s="224">
        <f t="shared" si="36"/>
        <v>10873.414424630753</v>
      </c>
      <c r="D218" s="235">
        <f t="shared" si="29"/>
        <v>1795.2253110178506</v>
      </c>
      <c r="E218" s="224">
        <f t="shared" si="30"/>
        <v>12668.639735648603</v>
      </c>
      <c r="F218" s="224">
        <f t="shared" si="37"/>
        <v>306</v>
      </c>
      <c r="G218" s="224">
        <f t="shared" si="38"/>
        <v>456</v>
      </c>
      <c r="H218" s="224">
        <f t="shared" si="39"/>
        <v>290</v>
      </c>
      <c r="I218" s="224">
        <f t="shared" si="31"/>
        <v>13720.639735648603</v>
      </c>
      <c r="J218" s="236"/>
      <c r="K218" s="228"/>
      <c r="L218" s="238">
        <f t="shared" si="32"/>
        <v>211445.50954042815</v>
      </c>
      <c r="M218" s="239">
        <f t="shared" si="33"/>
        <v>762</v>
      </c>
      <c r="N218" s="240">
        <f t="shared" si="41"/>
        <v>0.0969</v>
      </c>
      <c r="O218" s="85">
        <f t="shared" si="42"/>
        <v>393.1034482758621</v>
      </c>
      <c r="P218" s="85">
        <f t="shared" si="40"/>
        <v>13617.743183924465</v>
      </c>
    </row>
    <row r="219" spans="1:16" ht="12.75">
      <c r="A219" s="223">
        <f t="shared" si="34"/>
        <v>163</v>
      </c>
      <c r="B219" s="224">
        <f t="shared" si="35"/>
        <v>211445.50954042815</v>
      </c>
      <c r="C219" s="224">
        <f t="shared" si="36"/>
        <v>10961.217246109645</v>
      </c>
      <c r="D219" s="235">
        <f t="shared" si="29"/>
        <v>1707.4224895389573</v>
      </c>
      <c r="E219" s="224">
        <f t="shared" si="30"/>
        <v>12668.639735648603</v>
      </c>
      <c r="F219" s="224">
        <f t="shared" si="37"/>
        <v>306</v>
      </c>
      <c r="G219" s="224">
        <f t="shared" si="38"/>
        <v>456</v>
      </c>
      <c r="H219" s="224">
        <f t="shared" si="39"/>
        <v>290</v>
      </c>
      <c r="I219" s="224">
        <f t="shared" si="31"/>
        <v>13720.639735648603</v>
      </c>
      <c r="J219" s="236"/>
      <c r="K219" s="228"/>
      <c r="L219" s="238">
        <f t="shared" si="32"/>
        <v>200484.2922943185</v>
      </c>
      <c r="M219" s="239">
        <f t="shared" si="33"/>
        <v>762</v>
      </c>
      <c r="N219" s="240">
        <f t="shared" si="41"/>
        <v>0.0969</v>
      </c>
      <c r="O219" s="85">
        <f t="shared" si="42"/>
        <v>393.1034482758621</v>
      </c>
      <c r="P219" s="85">
        <f t="shared" si="40"/>
        <v>13617.743183924465</v>
      </c>
    </row>
    <row r="220" spans="1:16" ht="12.75">
      <c r="A220" s="223">
        <f t="shared" si="34"/>
        <v>164</v>
      </c>
      <c r="B220" s="224">
        <f t="shared" si="35"/>
        <v>200484.2922943185</v>
      </c>
      <c r="C220" s="224">
        <f t="shared" si="36"/>
        <v>11049.72907537198</v>
      </c>
      <c r="D220" s="235">
        <f t="shared" si="29"/>
        <v>1618.9106602766217</v>
      </c>
      <c r="E220" s="224">
        <f t="shared" si="30"/>
        <v>12668.639735648603</v>
      </c>
      <c r="F220" s="224">
        <f t="shared" si="37"/>
        <v>306</v>
      </c>
      <c r="G220" s="224">
        <f t="shared" si="38"/>
        <v>456</v>
      </c>
      <c r="H220" s="224">
        <f t="shared" si="39"/>
        <v>290</v>
      </c>
      <c r="I220" s="224">
        <f t="shared" si="31"/>
        <v>13720.639735648603</v>
      </c>
      <c r="J220" s="236"/>
      <c r="K220" s="228"/>
      <c r="L220" s="238">
        <f t="shared" si="32"/>
        <v>189434.5632189465</v>
      </c>
      <c r="M220" s="239">
        <f t="shared" si="33"/>
        <v>762</v>
      </c>
      <c r="N220" s="240">
        <f t="shared" si="41"/>
        <v>0.0969</v>
      </c>
      <c r="O220" s="85">
        <f t="shared" si="42"/>
        <v>393.1034482758621</v>
      </c>
      <c r="P220" s="85">
        <f t="shared" si="40"/>
        <v>13617.743183924465</v>
      </c>
    </row>
    <row r="221" spans="1:16" ht="12.75">
      <c r="A221" s="223">
        <f t="shared" si="34"/>
        <v>165</v>
      </c>
      <c r="B221" s="224">
        <f t="shared" si="35"/>
        <v>189434.5632189465</v>
      </c>
      <c r="C221" s="224">
        <f t="shared" si="36"/>
        <v>11138.95563765561</v>
      </c>
      <c r="D221" s="235">
        <f t="shared" si="29"/>
        <v>1529.684097992993</v>
      </c>
      <c r="E221" s="224">
        <f t="shared" si="30"/>
        <v>12668.639735648603</v>
      </c>
      <c r="F221" s="224">
        <f t="shared" si="37"/>
        <v>306</v>
      </c>
      <c r="G221" s="224">
        <f t="shared" si="38"/>
        <v>456</v>
      </c>
      <c r="H221" s="224">
        <f t="shared" si="39"/>
        <v>290</v>
      </c>
      <c r="I221" s="224">
        <f t="shared" si="31"/>
        <v>13720.639735648603</v>
      </c>
      <c r="J221" s="236"/>
      <c r="K221" s="228"/>
      <c r="L221" s="238">
        <f t="shared" si="32"/>
        <v>178295.6075812909</v>
      </c>
      <c r="M221" s="239">
        <f t="shared" si="33"/>
        <v>762</v>
      </c>
      <c r="N221" s="240">
        <f t="shared" si="41"/>
        <v>0.0969</v>
      </c>
      <c r="O221" s="85">
        <f t="shared" si="42"/>
        <v>393.1034482758621</v>
      </c>
      <c r="P221" s="85">
        <f t="shared" si="40"/>
        <v>13617.743183924465</v>
      </c>
    </row>
    <row r="222" spans="1:16" ht="12.75">
      <c r="A222" s="223">
        <f t="shared" si="34"/>
        <v>166</v>
      </c>
      <c r="B222" s="224">
        <f t="shared" si="35"/>
        <v>178295.6075812909</v>
      </c>
      <c r="C222" s="224">
        <f t="shared" si="36"/>
        <v>11228.902704429682</v>
      </c>
      <c r="D222" s="235">
        <f t="shared" si="29"/>
        <v>1439.7370312189241</v>
      </c>
      <c r="E222" s="224">
        <f t="shared" si="30"/>
        <v>12668.639735648607</v>
      </c>
      <c r="F222" s="224">
        <f t="shared" si="37"/>
        <v>306</v>
      </c>
      <c r="G222" s="224">
        <f t="shared" si="38"/>
        <v>456</v>
      </c>
      <c r="H222" s="224">
        <f t="shared" si="39"/>
        <v>290</v>
      </c>
      <c r="I222" s="224">
        <f t="shared" si="31"/>
        <v>13720.639735648607</v>
      </c>
      <c r="J222" s="236"/>
      <c r="K222" s="228"/>
      <c r="L222" s="238">
        <f t="shared" si="32"/>
        <v>167066.70487686124</v>
      </c>
      <c r="M222" s="239">
        <f t="shared" si="33"/>
        <v>762</v>
      </c>
      <c r="N222" s="240">
        <f t="shared" si="41"/>
        <v>0.0969</v>
      </c>
      <c r="O222" s="85">
        <f t="shared" si="42"/>
        <v>393.1034482758621</v>
      </c>
      <c r="P222" s="85">
        <f t="shared" si="40"/>
        <v>13617.74318392447</v>
      </c>
    </row>
    <row r="223" spans="1:16" ht="12.75">
      <c r="A223" s="223">
        <f t="shared" si="34"/>
        <v>167</v>
      </c>
      <c r="B223" s="224">
        <f t="shared" si="35"/>
        <v>167066.70487686124</v>
      </c>
      <c r="C223" s="224">
        <f t="shared" si="36"/>
        <v>11319.576093767953</v>
      </c>
      <c r="D223" s="235">
        <f t="shared" si="29"/>
        <v>1349.0636418806546</v>
      </c>
      <c r="E223" s="224">
        <f t="shared" si="30"/>
        <v>12668.639735648609</v>
      </c>
      <c r="F223" s="224">
        <f t="shared" si="37"/>
        <v>306</v>
      </c>
      <c r="G223" s="224">
        <f t="shared" si="38"/>
        <v>456</v>
      </c>
      <c r="H223" s="224">
        <f t="shared" si="39"/>
        <v>290</v>
      </c>
      <c r="I223" s="224">
        <f t="shared" si="31"/>
        <v>13720.639735648609</v>
      </c>
      <c r="J223" s="236"/>
      <c r="K223" s="228"/>
      <c r="L223" s="238">
        <f t="shared" si="32"/>
        <v>155747.1287830933</v>
      </c>
      <c r="M223" s="239">
        <f t="shared" si="33"/>
        <v>762</v>
      </c>
      <c r="N223" s="240">
        <f t="shared" si="41"/>
        <v>0.0969</v>
      </c>
      <c r="O223" s="85">
        <f t="shared" si="42"/>
        <v>393.1034482758621</v>
      </c>
      <c r="P223" s="85">
        <f t="shared" si="40"/>
        <v>13617.743183924471</v>
      </c>
    </row>
    <row r="224" spans="1:16" ht="12.75">
      <c r="A224" s="223">
        <f t="shared" si="34"/>
        <v>168</v>
      </c>
      <c r="B224" s="224">
        <f t="shared" si="35"/>
        <v>155747.1287830933</v>
      </c>
      <c r="C224" s="224">
        <f t="shared" si="36"/>
        <v>11410.98167072513</v>
      </c>
      <c r="D224" s="235">
        <f t="shared" si="29"/>
        <v>1257.6580649234784</v>
      </c>
      <c r="E224" s="224">
        <f t="shared" si="30"/>
        <v>12668.639735648609</v>
      </c>
      <c r="F224" s="224">
        <f t="shared" si="37"/>
        <v>306</v>
      </c>
      <c r="G224" s="224">
        <f t="shared" si="38"/>
        <v>456</v>
      </c>
      <c r="H224" s="224">
        <f t="shared" si="39"/>
        <v>290</v>
      </c>
      <c r="I224" s="224">
        <f t="shared" si="31"/>
        <v>13720.639735648609</v>
      </c>
      <c r="J224" s="236"/>
      <c r="K224" s="228"/>
      <c r="L224" s="238">
        <f t="shared" si="32"/>
        <v>144336.14711236817</v>
      </c>
      <c r="M224" s="239">
        <f t="shared" si="33"/>
        <v>762</v>
      </c>
      <c r="N224" s="240">
        <f t="shared" si="41"/>
        <v>0.0969</v>
      </c>
      <c r="O224" s="85">
        <f t="shared" si="42"/>
        <v>393.1034482758621</v>
      </c>
      <c r="P224" s="85">
        <f t="shared" si="40"/>
        <v>13617.743183924471</v>
      </c>
    </row>
    <row r="225" spans="1:16" ht="12.75">
      <c r="A225" s="223">
        <f t="shared" si="34"/>
        <v>169</v>
      </c>
      <c r="B225" s="224">
        <f t="shared" si="35"/>
        <v>144336.14711236817</v>
      </c>
      <c r="C225" s="224">
        <f t="shared" si="36"/>
        <v>11503.12534771623</v>
      </c>
      <c r="D225" s="235">
        <f t="shared" si="29"/>
        <v>1165.514387932373</v>
      </c>
      <c r="E225" s="224">
        <f t="shared" si="30"/>
        <v>12668.639735648603</v>
      </c>
      <c r="F225" s="224">
        <f t="shared" si="37"/>
        <v>306</v>
      </c>
      <c r="G225" s="224">
        <f t="shared" si="38"/>
        <v>456</v>
      </c>
      <c r="H225" s="224">
        <f t="shared" si="39"/>
        <v>290</v>
      </c>
      <c r="I225" s="224">
        <f t="shared" si="31"/>
        <v>13720.639735648603</v>
      </c>
      <c r="J225" s="236"/>
      <c r="K225" s="228"/>
      <c r="L225" s="238">
        <f t="shared" si="32"/>
        <v>132833.02176465193</v>
      </c>
      <c r="M225" s="239">
        <f t="shared" si="33"/>
        <v>762</v>
      </c>
      <c r="N225" s="240">
        <f t="shared" si="41"/>
        <v>0.0969</v>
      </c>
      <c r="O225" s="85">
        <f t="shared" si="42"/>
        <v>393.1034482758621</v>
      </c>
      <c r="P225" s="85">
        <f t="shared" si="40"/>
        <v>13617.743183924465</v>
      </c>
    </row>
    <row r="226" spans="1:16" ht="12.75">
      <c r="A226" s="223">
        <f t="shared" si="34"/>
        <v>170</v>
      </c>
      <c r="B226" s="224">
        <f t="shared" si="35"/>
        <v>132833.02176465193</v>
      </c>
      <c r="C226" s="224">
        <f t="shared" si="36"/>
        <v>11596.013084899045</v>
      </c>
      <c r="D226" s="235">
        <f t="shared" si="29"/>
        <v>1072.6266507495643</v>
      </c>
      <c r="E226" s="224">
        <f t="shared" si="30"/>
        <v>12668.639735648609</v>
      </c>
      <c r="F226" s="224">
        <f t="shared" si="37"/>
        <v>306</v>
      </c>
      <c r="G226" s="224">
        <f t="shared" si="38"/>
        <v>456</v>
      </c>
      <c r="H226" s="224">
        <f t="shared" si="39"/>
        <v>290</v>
      </c>
      <c r="I226" s="224">
        <f t="shared" si="31"/>
        <v>13720.639735648609</v>
      </c>
      <c r="J226" s="236"/>
      <c r="K226" s="228"/>
      <c r="L226" s="238">
        <f t="shared" si="32"/>
        <v>121237.00867975288</v>
      </c>
      <c r="M226" s="239">
        <f t="shared" si="33"/>
        <v>762</v>
      </c>
      <c r="N226" s="240">
        <f t="shared" si="41"/>
        <v>0.0969</v>
      </c>
      <c r="O226" s="85">
        <f t="shared" si="42"/>
        <v>393.1034482758621</v>
      </c>
      <c r="P226" s="85">
        <f t="shared" si="40"/>
        <v>13617.743183924471</v>
      </c>
    </row>
    <row r="227" spans="1:16" ht="12.75">
      <c r="A227" s="223">
        <f t="shared" si="34"/>
        <v>171</v>
      </c>
      <c r="B227" s="224">
        <f t="shared" si="35"/>
        <v>121237.00867975288</v>
      </c>
      <c r="C227" s="224">
        <f t="shared" si="36"/>
        <v>11689.650890559602</v>
      </c>
      <c r="D227" s="235">
        <f t="shared" si="29"/>
        <v>978.9888450890045</v>
      </c>
      <c r="E227" s="224">
        <f t="shared" si="30"/>
        <v>12668.639735648607</v>
      </c>
      <c r="F227" s="224">
        <f t="shared" si="37"/>
        <v>306</v>
      </c>
      <c r="G227" s="224">
        <f t="shared" si="38"/>
        <v>456</v>
      </c>
      <c r="H227" s="224">
        <f t="shared" si="39"/>
        <v>290</v>
      </c>
      <c r="I227" s="224">
        <f t="shared" si="31"/>
        <v>13720.639735648607</v>
      </c>
      <c r="J227" s="236"/>
      <c r="K227" s="228"/>
      <c r="L227" s="238">
        <f t="shared" si="32"/>
        <v>109547.35778919328</v>
      </c>
      <c r="M227" s="239">
        <f t="shared" si="33"/>
        <v>762</v>
      </c>
      <c r="N227" s="240">
        <f t="shared" si="41"/>
        <v>0.0969</v>
      </c>
      <c r="O227" s="85">
        <f t="shared" si="42"/>
        <v>393.1034482758621</v>
      </c>
      <c r="P227" s="85">
        <f t="shared" si="40"/>
        <v>13617.74318392447</v>
      </c>
    </row>
    <row r="228" spans="1:16" ht="12.75">
      <c r="A228" s="223">
        <f t="shared" si="34"/>
        <v>172</v>
      </c>
      <c r="B228" s="224">
        <f t="shared" si="35"/>
        <v>109547.35778919328</v>
      </c>
      <c r="C228" s="224">
        <f t="shared" si="36"/>
        <v>11784.044821500871</v>
      </c>
      <c r="D228" s="235">
        <f t="shared" si="29"/>
        <v>884.5949141477357</v>
      </c>
      <c r="E228" s="224">
        <f t="shared" si="30"/>
        <v>12668.639735648607</v>
      </c>
      <c r="F228" s="224">
        <f t="shared" si="37"/>
        <v>306</v>
      </c>
      <c r="G228" s="224">
        <f t="shared" si="38"/>
        <v>456</v>
      </c>
      <c r="H228" s="224">
        <f t="shared" si="39"/>
        <v>290</v>
      </c>
      <c r="I228" s="224">
        <f t="shared" si="31"/>
        <v>13720.639735648607</v>
      </c>
      <c r="J228" s="236"/>
      <c r="K228" s="228"/>
      <c r="L228" s="238">
        <f t="shared" si="32"/>
        <v>97763.31296769241</v>
      </c>
      <c r="M228" s="239">
        <f t="shared" si="33"/>
        <v>762</v>
      </c>
      <c r="N228" s="240">
        <f t="shared" si="41"/>
        <v>0.0969</v>
      </c>
      <c r="O228" s="85">
        <f t="shared" si="42"/>
        <v>393.1034482758621</v>
      </c>
      <c r="P228" s="85">
        <f t="shared" si="40"/>
        <v>13617.74318392447</v>
      </c>
    </row>
    <row r="229" spans="1:16" ht="12.75">
      <c r="A229" s="223">
        <f t="shared" si="34"/>
        <v>173</v>
      </c>
      <c r="B229" s="224">
        <f t="shared" si="35"/>
        <v>97763.31296769241</v>
      </c>
      <c r="C229" s="224">
        <f t="shared" si="36"/>
        <v>11879.200983434492</v>
      </c>
      <c r="D229" s="235">
        <f t="shared" si="29"/>
        <v>789.4387522141163</v>
      </c>
      <c r="E229" s="224">
        <f t="shared" si="30"/>
        <v>12668.639735648609</v>
      </c>
      <c r="F229" s="224">
        <f t="shared" si="37"/>
        <v>306</v>
      </c>
      <c r="G229" s="224">
        <f t="shared" si="38"/>
        <v>456</v>
      </c>
      <c r="H229" s="224">
        <f t="shared" si="39"/>
        <v>290</v>
      </c>
      <c r="I229" s="224">
        <f t="shared" si="31"/>
        <v>13720.639735648609</v>
      </c>
      <c r="J229" s="236"/>
      <c r="K229" s="228"/>
      <c r="L229" s="238">
        <f t="shared" si="32"/>
        <v>85884.11198425792</v>
      </c>
      <c r="M229" s="239">
        <f t="shared" si="33"/>
        <v>762</v>
      </c>
      <c r="N229" s="240">
        <f t="shared" si="41"/>
        <v>0.0969</v>
      </c>
      <c r="O229" s="85">
        <f t="shared" si="42"/>
        <v>393.1034482758621</v>
      </c>
      <c r="P229" s="85">
        <f t="shared" si="40"/>
        <v>13617.743183924471</v>
      </c>
    </row>
    <row r="230" spans="1:16" ht="12.75">
      <c r="A230" s="223">
        <f t="shared" si="34"/>
        <v>174</v>
      </c>
      <c r="B230" s="224">
        <f t="shared" si="35"/>
        <v>85884.11198425792</v>
      </c>
      <c r="C230" s="224">
        <f t="shared" si="36"/>
        <v>11975.125531375726</v>
      </c>
      <c r="D230" s="235">
        <f t="shared" si="29"/>
        <v>693.5142042728827</v>
      </c>
      <c r="E230" s="224">
        <f t="shared" si="30"/>
        <v>12668.639735648609</v>
      </c>
      <c r="F230" s="224">
        <f t="shared" si="37"/>
        <v>306</v>
      </c>
      <c r="G230" s="224">
        <f t="shared" si="38"/>
        <v>456</v>
      </c>
      <c r="H230" s="224">
        <f t="shared" si="39"/>
        <v>290</v>
      </c>
      <c r="I230" s="224">
        <f t="shared" si="31"/>
        <v>13720.639735648609</v>
      </c>
      <c r="J230" s="236"/>
      <c r="K230" s="228"/>
      <c r="L230" s="238">
        <f t="shared" si="32"/>
        <v>73908.98645288219</v>
      </c>
      <c r="M230" s="239">
        <f t="shared" si="33"/>
        <v>762</v>
      </c>
      <c r="N230" s="240">
        <f t="shared" si="41"/>
        <v>0.0969</v>
      </c>
      <c r="O230" s="85">
        <f t="shared" si="42"/>
        <v>393.1034482758621</v>
      </c>
      <c r="P230" s="85">
        <f t="shared" si="40"/>
        <v>13617.743183924471</v>
      </c>
    </row>
    <row r="231" spans="1:16" ht="12.75">
      <c r="A231" s="223">
        <f t="shared" si="34"/>
        <v>175</v>
      </c>
      <c r="B231" s="224">
        <f t="shared" si="35"/>
        <v>73908.98645288219</v>
      </c>
      <c r="C231" s="224">
        <f t="shared" si="36"/>
        <v>12071.824670041584</v>
      </c>
      <c r="D231" s="235">
        <f t="shared" si="29"/>
        <v>596.8150656070237</v>
      </c>
      <c r="E231" s="224">
        <f t="shared" si="30"/>
        <v>12668.639735648607</v>
      </c>
      <c r="F231" s="224">
        <f t="shared" si="37"/>
        <v>306</v>
      </c>
      <c r="G231" s="224">
        <f t="shared" si="38"/>
        <v>456</v>
      </c>
      <c r="H231" s="224">
        <f t="shared" si="39"/>
        <v>290</v>
      </c>
      <c r="I231" s="224">
        <f t="shared" si="31"/>
        <v>13720.639735648607</v>
      </c>
      <c r="J231" s="236"/>
      <c r="K231" s="228"/>
      <c r="L231" s="238">
        <f t="shared" si="32"/>
        <v>61837.16178284061</v>
      </c>
      <c r="M231" s="239">
        <f t="shared" si="33"/>
        <v>762</v>
      </c>
      <c r="N231" s="240">
        <f t="shared" si="41"/>
        <v>0.0969</v>
      </c>
      <c r="O231" s="85">
        <f t="shared" si="42"/>
        <v>393.1034482758621</v>
      </c>
      <c r="P231" s="85">
        <f t="shared" si="40"/>
        <v>13617.74318392447</v>
      </c>
    </row>
    <row r="232" spans="1:16" ht="12.75">
      <c r="A232" s="223">
        <f t="shared" si="34"/>
        <v>176</v>
      </c>
      <c r="B232" s="224">
        <f t="shared" si="35"/>
        <v>61837.16178284061</v>
      </c>
      <c r="C232" s="224">
        <f t="shared" si="36"/>
        <v>12169.304654252172</v>
      </c>
      <c r="D232" s="235">
        <f t="shared" si="29"/>
        <v>499.33508139643794</v>
      </c>
      <c r="E232" s="224">
        <f t="shared" si="30"/>
        <v>12668.639735648609</v>
      </c>
      <c r="F232" s="224">
        <f t="shared" si="37"/>
        <v>306</v>
      </c>
      <c r="G232" s="224">
        <f t="shared" si="38"/>
        <v>456</v>
      </c>
      <c r="H232" s="224">
        <f t="shared" si="39"/>
        <v>290</v>
      </c>
      <c r="I232" s="224">
        <f t="shared" si="31"/>
        <v>13720.639735648609</v>
      </c>
      <c r="J232" s="236"/>
      <c r="K232" s="228"/>
      <c r="L232" s="238">
        <f t="shared" si="32"/>
        <v>49667.85712858844</v>
      </c>
      <c r="M232" s="239">
        <f t="shared" si="33"/>
        <v>762</v>
      </c>
      <c r="N232" s="240">
        <f t="shared" si="41"/>
        <v>0.0969</v>
      </c>
      <c r="O232" s="85">
        <f t="shared" si="42"/>
        <v>393.1034482758621</v>
      </c>
      <c r="P232" s="85">
        <f t="shared" si="40"/>
        <v>13617.743183924471</v>
      </c>
    </row>
    <row r="233" spans="1:16" ht="12.75">
      <c r="A233" s="223">
        <f t="shared" si="34"/>
        <v>177</v>
      </c>
      <c r="B233" s="224">
        <f t="shared" si="35"/>
        <v>49667.85712858844</v>
      </c>
      <c r="C233" s="224">
        <f t="shared" si="36"/>
        <v>12267.57178933526</v>
      </c>
      <c r="D233" s="235">
        <f t="shared" si="29"/>
        <v>401.0679463133517</v>
      </c>
      <c r="E233" s="224">
        <f t="shared" si="30"/>
        <v>12668.63973564861</v>
      </c>
      <c r="F233" s="224">
        <f t="shared" si="37"/>
        <v>306</v>
      </c>
      <c r="G233" s="224">
        <f t="shared" si="38"/>
        <v>456</v>
      </c>
      <c r="H233" s="224">
        <f t="shared" si="39"/>
        <v>290</v>
      </c>
      <c r="I233" s="224">
        <f t="shared" si="31"/>
        <v>13720.63973564861</v>
      </c>
      <c r="J233" s="236"/>
      <c r="K233" s="228"/>
      <c r="L233" s="238">
        <f t="shared" si="32"/>
        <v>37400.28533925318</v>
      </c>
      <c r="M233" s="239">
        <f t="shared" si="33"/>
        <v>762</v>
      </c>
      <c r="N233" s="240">
        <f t="shared" si="41"/>
        <v>0.0969</v>
      </c>
      <c r="O233" s="85">
        <f t="shared" si="42"/>
        <v>393.1034482758621</v>
      </c>
      <c r="P233" s="85">
        <f t="shared" si="40"/>
        <v>13617.743183924473</v>
      </c>
    </row>
    <row r="234" spans="1:16" ht="12.75">
      <c r="A234" s="223">
        <f t="shared" si="34"/>
        <v>178</v>
      </c>
      <c r="B234" s="224">
        <f t="shared" si="35"/>
        <v>37400.28533925318</v>
      </c>
      <c r="C234" s="224">
        <f t="shared" si="36"/>
        <v>12366.632431534143</v>
      </c>
      <c r="D234" s="235">
        <f t="shared" si="29"/>
        <v>302.0073041144695</v>
      </c>
      <c r="E234" s="224">
        <f t="shared" si="30"/>
        <v>12668.639735648612</v>
      </c>
      <c r="F234" s="224">
        <f t="shared" si="37"/>
        <v>306</v>
      </c>
      <c r="G234" s="224">
        <f t="shared" si="38"/>
        <v>456</v>
      </c>
      <c r="H234" s="224">
        <f t="shared" si="39"/>
        <v>290</v>
      </c>
      <c r="I234" s="224">
        <f t="shared" si="31"/>
        <v>13720.639735648612</v>
      </c>
      <c r="J234" s="236"/>
      <c r="K234" s="228"/>
      <c r="L234" s="238">
        <f t="shared" si="32"/>
        <v>25033.652907719043</v>
      </c>
      <c r="M234" s="239">
        <f t="shared" si="33"/>
        <v>762</v>
      </c>
      <c r="N234" s="240">
        <f t="shared" si="41"/>
        <v>0.0969</v>
      </c>
      <c r="O234" s="85">
        <f t="shared" si="42"/>
        <v>393.1034482758621</v>
      </c>
      <c r="P234" s="85">
        <f t="shared" si="40"/>
        <v>13617.743183924475</v>
      </c>
    </row>
    <row r="235" spans="1:16" ht="12.75">
      <c r="A235" s="223">
        <f t="shared" si="34"/>
        <v>179</v>
      </c>
      <c r="B235" s="224">
        <f t="shared" si="35"/>
        <v>25033.652907719043</v>
      </c>
      <c r="C235" s="224">
        <f t="shared" si="36"/>
        <v>12466.492988418777</v>
      </c>
      <c r="D235" s="235">
        <f t="shared" si="29"/>
        <v>202.14674722983128</v>
      </c>
      <c r="E235" s="224">
        <f t="shared" si="30"/>
        <v>12668.639735648609</v>
      </c>
      <c r="F235" s="224">
        <f t="shared" si="37"/>
        <v>306</v>
      </c>
      <c r="G235" s="224">
        <f t="shared" si="38"/>
        <v>456</v>
      </c>
      <c r="H235" s="224">
        <f t="shared" si="39"/>
        <v>290</v>
      </c>
      <c r="I235" s="224">
        <f t="shared" si="31"/>
        <v>13720.639735648609</v>
      </c>
      <c r="J235" s="236"/>
      <c r="K235" s="228"/>
      <c r="L235" s="238">
        <f t="shared" si="32"/>
        <v>12567.159919300266</v>
      </c>
      <c r="M235" s="239">
        <f t="shared" si="33"/>
        <v>762</v>
      </c>
      <c r="N235" s="240">
        <f t="shared" si="41"/>
        <v>0.0969</v>
      </c>
      <c r="O235" s="85">
        <f t="shared" si="42"/>
        <v>393.1034482758621</v>
      </c>
      <c r="P235" s="85">
        <f t="shared" si="40"/>
        <v>13617.743183924471</v>
      </c>
    </row>
    <row r="236" spans="1:16" ht="12.75">
      <c r="A236" s="223">
        <f t="shared" si="34"/>
        <v>180</v>
      </c>
      <c r="B236" s="224">
        <f t="shared" si="35"/>
        <v>12567.159919300266</v>
      </c>
      <c r="C236" s="224">
        <f t="shared" si="36"/>
        <v>12567.159919300266</v>
      </c>
      <c r="D236" s="235">
        <f t="shared" si="29"/>
        <v>101.47981634834964</v>
      </c>
      <c r="E236" s="224">
        <f t="shared" si="30"/>
        <v>12668.639735648616</v>
      </c>
      <c r="F236" s="224">
        <f t="shared" si="37"/>
        <v>306</v>
      </c>
      <c r="G236" s="224">
        <f t="shared" si="38"/>
        <v>456</v>
      </c>
      <c r="H236" s="224">
        <f t="shared" si="39"/>
        <v>290</v>
      </c>
      <c r="I236" s="224">
        <f t="shared" si="31"/>
        <v>13720.639735648616</v>
      </c>
      <c r="J236" s="236"/>
      <c r="K236" s="228"/>
      <c r="L236" s="238">
        <f t="shared" si="32"/>
        <v>0</v>
      </c>
      <c r="M236" s="239">
        <f t="shared" si="33"/>
        <v>762</v>
      </c>
      <c r="N236" s="240">
        <f t="shared" si="41"/>
        <v>0.0969</v>
      </c>
      <c r="O236" s="85">
        <f t="shared" si="42"/>
        <v>393.1034482758621</v>
      </c>
      <c r="P236" s="85">
        <f t="shared" si="40"/>
        <v>13617.743183924478</v>
      </c>
    </row>
    <row r="237" spans="1:16" ht="12.75">
      <c r="A237" s="223">
        <f t="shared" si="34"/>
      </c>
      <c r="B237" s="224">
        <f t="shared" si="35"/>
      </c>
      <c r="C237" s="224">
        <f t="shared" si="36"/>
      </c>
      <c r="D237" s="235">
        <f t="shared" si="29"/>
      </c>
      <c r="E237" s="224">
        <f t="shared" si="30"/>
      </c>
      <c r="F237" s="224">
        <f t="shared" si="37"/>
      </c>
      <c r="G237" s="224">
        <f t="shared" si="38"/>
      </c>
      <c r="H237" s="224">
        <f t="shared" si="39"/>
      </c>
      <c r="I237" s="224">
        <f t="shared" si="31"/>
      </c>
      <c r="J237" s="236"/>
      <c r="K237" s="228"/>
      <c r="L237" s="238">
        <f t="shared" si="32"/>
      </c>
      <c r="M237" s="239">
        <f t="shared" si="33"/>
      </c>
      <c r="N237" s="240">
        <f t="shared" si="41"/>
      </c>
      <c r="O237" s="85">
        <f t="shared" si="42"/>
      </c>
      <c r="P237" s="85">
        <f t="shared" si="40"/>
      </c>
    </row>
    <row r="238" spans="1:16" ht="12.75">
      <c r="A238" s="223">
        <f t="shared" si="34"/>
      </c>
      <c r="B238" s="224">
        <f t="shared" si="35"/>
      </c>
      <c r="C238" s="224">
        <f t="shared" si="36"/>
      </c>
      <c r="D238" s="235">
        <f t="shared" si="29"/>
      </c>
      <c r="E238" s="224">
        <f t="shared" si="30"/>
      </c>
      <c r="F238" s="224">
        <f t="shared" si="37"/>
      </c>
      <c r="G238" s="224">
        <f t="shared" si="38"/>
      </c>
      <c r="H238" s="224">
        <f t="shared" si="39"/>
      </c>
      <c r="I238" s="224">
        <f t="shared" si="31"/>
      </c>
      <c r="J238" s="236"/>
      <c r="K238" s="228"/>
      <c r="L238" s="238">
        <f t="shared" si="32"/>
      </c>
      <c r="M238" s="239">
        <f t="shared" si="33"/>
      </c>
      <c r="N238" s="240">
        <f t="shared" si="41"/>
      </c>
      <c r="O238" s="85">
        <f t="shared" si="42"/>
      </c>
      <c r="P238" s="85">
        <f t="shared" si="40"/>
      </c>
    </row>
    <row r="239" spans="1:16" ht="12.75">
      <c r="A239" s="223">
        <f t="shared" si="34"/>
      </c>
      <c r="B239" s="224">
        <f t="shared" si="35"/>
      </c>
      <c r="C239" s="224">
        <f t="shared" si="36"/>
      </c>
      <c r="D239" s="235">
        <f t="shared" si="29"/>
      </c>
      <c r="E239" s="224">
        <f t="shared" si="30"/>
      </c>
      <c r="F239" s="224">
        <f t="shared" si="37"/>
      </c>
      <c r="G239" s="224">
        <f t="shared" si="38"/>
      </c>
      <c r="H239" s="224">
        <f t="shared" si="39"/>
      </c>
      <c r="I239" s="224">
        <f t="shared" si="31"/>
      </c>
      <c r="J239" s="236"/>
      <c r="K239" s="228"/>
      <c r="L239" s="238">
        <f t="shared" si="32"/>
      </c>
      <c r="M239" s="239">
        <f t="shared" si="33"/>
      </c>
      <c r="N239" s="240">
        <f t="shared" si="41"/>
      </c>
      <c r="O239" s="85">
        <f t="shared" si="42"/>
      </c>
      <c r="P239" s="85">
        <f t="shared" si="40"/>
      </c>
    </row>
    <row r="240" spans="1:16" ht="12.75">
      <c r="A240" s="223">
        <f t="shared" si="34"/>
      </c>
      <c r="B240" s="224">
        <f t="shared" si="35"/>
      </c>
      <c r="C240" s="224">
        <f t="shared" si="36"/>
      </c>
      <c r="D240" s="235">
        <f t="shared" si="29"/>
      </c>
      <c r="E240" s="224">
        <f t="shared" si="30"/>
      </c>
      <c r="F240" s="224">
        <f t="shared" si="37"/>
      </c>
      <c r="G240" s="224">
        <f t="shared" si="38"/>
      </c>
      <c r="H240" s="224">
        <f t="shared" si="39"/>
      </c>
      <c r="I240" s="224">
        <f t="shared" si="31"/>
      </c>
      <c r="J240" s="236"/>
      <c r="K240" s="228"/>
      <c r="L240" s="238">
        <f t="shared" si="32"/>
      </c>
      <c r="M240" s="239">
        <f t="shared" si="33"/>
      </c>
      <c r="N240" s="240">
        <f t="shared" si="41"/>
      </c>
      <c r="O240" s="85">
        <f t="shared" si="42"/>
      </c>
      <c r="P240" s="85">
        <f t="shared" si="40"/>
      </c>
    </row>
    <row r="241" spans="1:16" ht="12.75">
      <c r="A241" s="223">
        <f t="shared" si="34"/>
      </c>
      <c r="B241" s="224">
        <f t="shared" si="35"/>
      </c>
      <c r="C241" s="224">
        <f t="shared" si="36"/>
      </c>
      <c r="D241" s="235">
        <f t="shared" si="29"/>
      </c>
      <c r="E241" s="224">
        <f t="shared" si="30"/>
      </c>
      <c r="F241" s="224">
        <f t="shared" si="37"/>
      </c>
      <c r="G241" s="224">
        <f t="shared" si="38"/>
      </c>
      <c r="H241" s="224">
        <f t="shared" si="39"/>
      </c>
      <c r="I241" s="224">
        <f t="shared" si="31"/>
      </c>
      <c r="J241" s="236"/>
      <c r="K241" s="228"/>
      <c r="L241" s="238">
        <f t="shared" si="32"/>
      </c>
      <c r="M241" s="239">
        <f t="shared" si="33"/>
      </c>
      <c r="N241" s="240">
        <f t="shared" si="41"/>
      </c>
      <c r="O241" s="85">
        <f t="shared" si="42"/>
      </c>
      <c r="P241" s="85">
        <f t="shared" si="40"/>
      </c>
    </row>
    <row r="242" spans="1:16" ht="12.75">
      <c r="A242" s="223">
        <f t="shared" si="34"/>
      </c>
      <c r="B242" s="224">
        <f t="shared" si="35"/>
      </c>
      <c r="C242" s="224">
        <f t="shared" si="36"/>
      </c>
      <c r="D242" s="235">
        <f t="shared" si="29"/>
      </c>
      <c r="E242" s="224">
        <f t="shared" si="30"/>
      </c>
      <c r="F242" s="224">
        <f t="shared" si="37"/>
      </c>
      <c r="G242" s="224">
        <f t="shared" si="38"/>
      </c>
      <c r="H242" s="224">
        <f t="shared" si="39"/>
      </c>
      <c r="I242" s="224">
        <f t="shared" si="31"/>
      </c>
      <c r="J242" s="236"/>
      <c r="K242" s="228"/>
      <c r="L242" s="238">
        <f t="shared" si="32"/>
      </c>
      <c r="M242" s="239">
        <f t="shared" si="33"/>
      </c>
      <c r="N242" s="240">
        <f t="shared" si="41"/>
      </c>
      <c r="O242" s="85">
        <f t="shared" si="42"/>
      </c>
      <c r="P242" s="85">
        <f t="shared" si="40"/>
      </c>
    </row>
    <row r="243" spans="1:16" ht="12.75">
      <c r="A243" s="223">
        <f t="shared" si="34"/>
      </c>
      <c r="B243" s="224">
        <f t="shared" si="35"/>
      </c>
      <c r="C243" s="224">
        <f t="shared" si="36"/>
      </c>
      <c r="D243" s="235">
        <f t="shared" si="29"/>
      </c>
      <c r="E243" s="224">
        <f t="shared" si="30"/>
      </c>
      <c r="F243" s="224">
        <f t="shared" si="37"/>
      </c>
      <c r="G243" s="224">
        <f t="shared" si="38"/>
      </c>
      <c r="H243" s="224">
        <f t="shared" si="39"/>
      </c>
      <c r="I243" s="224">
        <f t="shared" si="31"/>
      </c>
      <c r="J243" s="236"/>
      <c r="K243" s="228"/>
      <c r="L243" s="238">
        <f t="shared" si="32"/>
      </c>
      <c r="M243" s="239">
        <f t="shared" si="33"/>
      </c>
      <c r="N243" s="240">
        <f t="shared" si="41"/>
      </c>
      <c r="O243" s="85">
        <f t="shared" si="42"/>
      </c>
      <c r="P243" s="85">
        <f t="shared" si="40"/>
      </c>
    </row>
    <row r="244" spans="1:16" ht="12.75">
      <c r="A244" s="223">
        <f t="shared" si="34"/>
      </c>
      <c r="B244" s="224">
        <f t="shared" si="35"/>
      </c>
      <c r="C244" s="224">
        <f t="shared" si="36"/>
      </c>
      <c r="D244" s="235">
        <f t="shared" si="29"/>
      </c>
      <c r="E244" s="224">
        <f t="shared" si="30"/>
      </c>
      <c r="F244" s="224">
        <f t="shared" si="37"/>
      </c>
      <c r="G244" s="224">
        <f t="shared" si="38"/>
      </c>
      <c r="H244" s="224">
        <f t="shared" si="39"/>
      </c>
      <c r="I244" s="224">
        <f t="shared" si="31"/>
      </c>
      <c r="J244" s="236"/>
      <c r="K244" s="228"/>
      <c r="L244" s="238">
        <f t="shared" si="32"/>
      </c>
      <c r="M244" s="239">
        <f t="shared" si="33"/>
      </c>
      <c r="N244" s="240">
        <f t="shared" si="41"/>
      </c>
      <c r="O244" s="85">
        <f t="shared" si="42"/>
      </c>
      <c r="P244" s="85">
        <f t="shared" si="40"/>
      </c>
    </row>
    <row r="245" spans="1:16" ht="12.75">
      <c r="A245" s="223">
        <f t="shared" si="34"/>
      </c>
      <c r="B245" s="224">
        <f t="shared" si="35"/>
      </c>
      <c r="C245" s="224">
        <f t="shared" si="36"/>
      </c>
      <c r="D245" s="235">
        <f t="shared" si="29"/>
      </c>
      <c r="E245" s="224">
        <f t="shared" si="30"/>
      </c>
      <c r="F245" s="224">
        <f t="shared" si="37"/>
      </c>
      <c r="G245" s="224">
        <f t="shared" si="38"/>
      </c>
      <c r="H245" s="224">
        <f t="shared" si="39"/>
      </c>
      <c r="I245" s="224">
        <f t="shared" si="31"/>
      </c>
      <c r="J245" s="236"/>
      <c r="K245" s="228"/>
      <c r="L245" s="238">
        <f t="shared" si="32"/>
      </c>
      <c r="M245" s="239">
        <f t="shared" si="33"/>
      </c>
      <c r="N245" s="240">
        <f t="shared" si="41"/>
      </c>
      <c r="O245" s="85">
        <f t="shared" si="42"/>
      </c>
      <c r="P245" s="85">
        <f t="shared" si="40"/>
      </c>
    </row>
    <row r="246" spans="1:16" ht="12.75">
      <c r="A246" s="223">
        <f t="shared" si="34"/>
      </c>
      <c r="B246" s="224">
        <f t="shared" si="35"/>
      </c>
      <c r="C246" s="224">
        <f t="shared" si="36"/>
      </c>
      <c r="D246" s="235">
        <f t="shared" si="29"/>
      </c>
      <c r="E246" s="224">
        <f t="shared" si="30"/>
      </c>
      <c r="F246" s="224">
        <f t="shared" si="37"/>
      </c>
      <c r="G246" s="224">
        <f t="shared" si="38"/>
      </c>
      <c r="H246" s="224">
        <f t="shared" si="39"/>
      </c>
      <c r="I246" s="224">
        <f t="shared" si="31"/>
      </c>
      <c r="J246" s="236"/>
      <c r="K246" s="228"/>
      <c r="L246" s="238">
        <f t="shared" si="32"/>
      </c>
      <c r="M246" s="239">
        <f t="shared" si="33"/>
      </c>
      <c r="N246" s="240">
        <f t="shared" si="41"/>
      </c>
      <c r="O246" s="85">
        <f t="shared" si="42"/>
      </c>
      <c r="P246" s="85">
        <f t="shared" si="40"/>
      </c>
    </row>
    <row r="247" spans="1:16" ht="12.75">
      <c r="A247" s="223">
        <f t="shared" si="34"/>
      </c>
      <c r="B247" s="224">
        <f t="shared" si="35"/>
      </c>
      <c r="C247" s="224">
        <f t="shared" si="36"/>
      </c>
      <c r="D247" s="235">
        <f t="shared" si="29"/>
      </c>
      <c r="E247" s="224">
        <f t="shared" si="30"/>
      </c>
      <c r="F247" s="224">
        <f t="shared" si="37"/>
      </c>
      <c r="G247" s="224">
        <f t="shared" si="38"/>
      </c>
      <c r="H247" s="224">
        <f t="shared" si="39"/>
      </c>
      <c r="I247" s="224">
        <f t="shared" si="31"/>
      </c>
      <c r="J247" s="236"/>
      <c r="K247" s="228"/>
      <c r="L247" s="238">
        <f t="shared" si="32"/>
      </c>
      <c r="M247" s="239">
        <f t="shared" si="33"/>
      </c>
      <c r="N247" s="240">
        <f t="shared" si="41"/>
      </c>
      <c r="O247" s="85">
        <f t="shared" si="42"/>
      </c>
      <c r="P247" s="85">
        <f t="shared" si="40"/>
      </c>
    </row>
    <row r="248" spans="1:16" ht="12.75">
      <c r="A248" s="223">
        <f t="shared" si="34"/>
      </c>
      <c r="B248" s="224">
        <f t="shared" si="35"/>
      </c>
      <c r="C248" s="224">
        <f t="shared" si="36"/>
      </c>
      <c r="D248" s="235">
        <f t="shared" si="29"/>
      </c>
      <c r="E248" s="224">
        <f t="shared" si="30"/>
      </c>
      <c r="F248" s="224">
        <f t="shared" si="37"/>
      </c>
      <c r="G248" s="224">
        <f t="shared" si="38"/>
      </c>
      <c r="H248" s="224">
        <f t="shared" si="39"/>
      </c>
      <c r="I248" s="224">
        <f t="shared" si="31"/>
      </c>
      <c r="J248" s="236"/>
      <c r="K248" s="228"/>
      <c r="L248" s="238">
        <f t="shared" si="32"/>
      </c>
      <c r="M248" s="239">
        <f t="shared" si="33"/>
      </c>
      <c r="N248" s="240">
        <f t="shared" si="41"/>
      </c>
      <c r="O248" s="85">
        <f t="shared" si="42"/>
      </c>
      <c r="P248" s="85">
        <f t="shared" si="40"/>
      </c>
    </row>
    <row r="249" spans="1:16" ht="12.75">
      <c r="A249" s="223">
        <f t="shared" si="34"/>
      </c>
      <c r="B249" s="224">
        <f t="shared" si="35"/>
      </c>
      <c r="C249" s="224">
        <f t="shared" si="36"/>
      </c>
      <c r="D249" s="235">
        <f aca="true" t="shared" si="43" ref="D249:D312">IF(A249="","",(B249*($C$17))/12)</f>
      </c>
      <c r="E249" s="224">
        <f aca="true" t="shared" si="44" ref="E249:E312">IF(B249&lt;(IF(A249="","",IF($J$52=2,$G$12,PMT($C$17/12,$C$18-A248,-B249,0,0)))),B249+D249,IF(A249="","",IF($J$52=2,$G$12,PMT($C$17/12,$C$18-A248,-B249,0,0))))</f>
      </c>
      <c r="F249" s="224">
        <f t="shared" si="37"/>
      </c>
      <c r="G249" s="224">
        <f t="shared" si="38"/>
      </c>
      <c r="H249" s="224">
        <f t="shared" si="39"/>
      </c>
      <c r="I249" s="224">
        <f aca="true" t="shared" si="45" ref="I249:I312">IF(A249="","",E249+F249+G249+H249)</f>
      </c>
      <c r="J249" s="236"/>
      <c r="K249" s="228"/>
      <c r="L249" s="238">
        <f aca="true" t="shared" si="46" ref="L249:L312">IF(A249="","",B249-C249-J249-K249)</f>
      </c>
      <c r="M249" s="239">
        <f aca="true" t="shared" si="47" ref="M249:M312">IF(A249="","",G249+F249)</f>
      </c>
      <c r="N249" s="240">
        <f t="shared" si="41"/>
      </c>
      <c r="O249" s="85">
        <f t="shared" si="42"/>
      </c>
      <c r="P249" s="85">
        <f t="shared" si="40"/>
      </c>
    </row>
    <row r="250" spans="1:16" ht="12.75">
      <c r="A250" s="223">
        <f aca="true" t="shared" si="48" ref="A250:A313">IF(A249="","",IF((B249-C249)&lt;0.01,"",A249+1))</f>
      </c>
      <c r="B250" s="224">
        <f aca="true" t="shared" si="49" ref="B250:B313">IF(A250="","",(B249-C249-J249-K249))</f>
      </c>
      <c r="C250" s="224">
        <f aca="true" t="shared" si="50" ref="C250:C313">IF(A250="","",E250-D250)</f>
      </c>
      <c r="D250" s="235">
        <f t="shared" si="43"/>
      </c>
      <c r="E250" s="224">
        <f t="shared" si="44"/>
      </c>
      <c r="F250" s="224">
        <f aca="true" t="shared" si="51" ref="F250:F313">IF(A250="","",F249)</f>
      </c>
      <c r="G250" s="224">
        <f aca="true" t="shared" si="52" ref="G250:G313">IF(A250="","",G249)</f>
      </c>
      <c r="H250" s="224">
        <f aca="true" t="shared" si="53" ref="H250:H313">IF(A250="","",H249)</f>
      </c>
      <c r="I250" s="224">
        <f t="shared" si="45"/>
      </c>
      <c r="J250" s="236"/>
      <c r="K250" s="228"/>
      <c r="L250" s="238">
        <f t="shared" si="46"/>
      </c>
      <c r="M250" s="239">
        <f t="shared" si="47"/>
      </c>
      <c r="N250" s="240">
        <f t="shared" si="41"/>
      </c>
      <c r="O250" s="85">
        <f t="shared" si="42"/>
      </c>
      <c r="P250" s="85">
        <f aca="true" t="shared" si="54" ref="P250:P296">IF(A250="","",E250+F250+O250+H250/1.16)</f>
      </c>
    </row>
    <row r="251" spans="1:16" ht="12.75">
      <c r="A251" s="223">
        <f t="shared" si="48"/>
      </c>
      <c r="B251" s="224">
        <f t="shared" si="49"/>
      </c>
      <c r="C251" s="224">
        <f t="shared" si="50"/>
      </c>
      <c r="D251" s="235">
        <f t="shared" si="43"/>
      </c>
      <c r="E251" s="224">
        <f t="shared" si="44"/>
      </c>
      <c r="F251" s="224">
        <f t="shared" si="51"/>
      </c>
      <c r="G251" s="224">
        <f t="shared" si="52"/>
      </c>
      <c r="H251" s="224">
        <f t="shared" si="53"/>
      </c>
      <c r="I251" s="224">
        <f t="shared" si="45"/>
      </c>
      <c r="J251" s="236"/>
      <c r="K251" s="228"/>
      <c r="L251" s="238">
        <f t="shared" si="46"/>
      </c>
      <c r="M251" s="239">
        <f t="shared" si="47"/>
      </c>
      <c r="N251" s="240">
        <f aca="true" t="shared" si="55" ref="N251:N296">IF(A251="","",$C$17)</f>
      </c>
      <c r="O251" s="85">
        <f aca="true" t="shared" si="56" ref="O251:O296">IF(A251="","",G250/1.16)</f>
      </c>
      <c r="P251" s="85">
        <f t="shared" si="54"/>
      </c>
    </row>
    <row r="252" spans="1:16" ht="12.75">
      <c r="A252" s="223">
        <f t="shared" si="48"/>
      </c>
      <c r="B252" s="224">
        <f t="shared" si="49"/>
      </c>
      <c r="C252" s="224">
        <f t="shared" si="50"/>
      </c>
      <c r="D252" s="235">
        <f t="shared" si="43"/>
      </c>
      <c r="E252" s="224">
        <f t="shared" si="44"/>
      </c>
      <c r="F252" s="224">
        <f t="shared" si="51"/>
      </c>
      <c r="G252" s="224">
        <f t="shared" si="52"/>
      </c>
      <c r="H252" s="224">
        <f t="shared" si="53"/>
      </c>
      <c r="I252" s="224">
        <f t="shared" si="45"/>
      </c>
      <c r="J252" s="236"/>
      <c r="K252" s="228"/>
      <c r="L252" s="238">
        <f t="shared" si="46"/>
      </c>
      <c r="M252" s="239">
        <f t="shared" si="47"/>
      </c>
      <c r="N252" s="240">
        <f t="shared" si="55"/>
      </c>
      <c r="O252" s="85">
        <f t="shared" si="56"/>
      </c>
      <c r="P252" s="85">
        <f t="shared" si="54"/>
      </c>
    </row>
    <row r="253" spans="1:16" ht="12.75">
      <c r="A253" s="223">
        <f t="shared" si="48"/>
      </c>
      <c r="B253" s="224">
        <f t="shared" si="49"/>
      </c>
      <c r="C253" s="224">
        <f t="shared" si="50"/>
      </c>
      <c r="D253" s="235">
        <f t="shared" si="43"/>
      </c>
      <c r="E253" s="224">
        <f t="shared" si="44"/>
      </c>
      <c r="F253" s="224">
        <f t="shared" si="51"/>
      </c>
      <c r="G253" s="224">
        <f t="shared" si="52"/>
      </c>
      <c r="H253" s="224">
        <f t="shared" si="53"/>
      </c>
      <c r="I253" s="224">
        <f t="shared" si="45"/>
      </c>
      <c r="J253" s="236"/>
      <c r="K253" s="228"/>
      <c r="L253" s="238">
        <f t="shared" si="46"/>
      </c>
      <c r="M253" s="239">
        <f t="shared" si="47"/>
      </c>
      <c r="N253" s="240">
        <f t="shared" si="55"/>
      </c>
      <c r="O253" s="85">
        <f t="shared" si="56"/>
      </c>
      <c r="P253" s="85">
        <f t="shared" si="54"/>
      </c>
    </row>
    <row r="254" spans="1:16" ht="12.75">
      <c r="A254" s="223">
        <f t="shared" si="48"/>
      </c>
      <c r="B254" s="224">
        <f t="shared" si="49"/>
      </c>
      <c r="C254" s="224">
        <f t="shared" si="50"/>
      </c>
      <c r="D254" s="235">
        <f t="shared" si="43"/>
      </c>
      <c r="E254" s="224">
        <f t="shared" si="44"/>
      </c>
      <c r="F254" s="224">
        <f t="shared" si="51"/>
      </c>
      <c r="G254" s="224">
        <f t="shared" si="52"/>
      </c>
      <c r="H254" s="224">
        <f t="shared" si="53"/>
      </c>
      <c r="I254" s="224">
        <f t="shared" si="45"/>
      </c>
      <c r="J254" s="236"/>
      <c r="K254" s="228"/>
      <c r="L254" s="238">
        <f t="shared" si="46"/>
      </c>
      <c r="M254" s="239">
        <f t="shared" si="47"/>
      </c>
      <c r="N254" s="240">
        <f t="shared" si="55"/>
      </c>
      <c r="O254" s="85">
        <f t="shared" si="56"/>
      </c>
      <c r="P254" s="85">
        <f t="shared" si="54"/>
      </c>
    </row>
    <row r="255" spans="1:16" ht="12.75">
      <c r="A255" s="223">
        <f t="shared" si="48"/>
      </c>
      <c r="B255" s="224">
        <f t="shared" si="49"/>
      </c>
      <c r="C255" s="224">
        <f t="shared" si="50"/>
      </c>
      <c r="D255" s="235">
        <f t="shared" si="43"/>
      </c>
      <c r="E255" s="224">
        <f t="shared" si="44"/>
      </c>
      <c r="F255" s="224">
        <f t="shared" si="51"/>
      </c>
      <c r="G255" s="224">
        <f t="shared" si="52"/>
      </c>
      <c r="H255" s="224">
        <f t="shared" si="53"/>
      </c>
      <c r="I255" s="224">
        <f t="shared" si="45"/>
      </c>
      <c r="J255" s="236"/>
      <c r="K255" s="228"/>
      <c r="L255" s="238">
        <f t="shared" si="46"/>
      </c>
      <c r="M255" s="239">
        <f t="shared" si="47"/>
      </c>
      <c r="N255" s="240">
        <f t="shared" si="55"/>
      </c>
      <c r="O255" s="85">
        <f t="shared" si="56"/>
      </c>
      <c r="P255" s="85">
        <f t="shared" si="54"/>
      </c>
    </row>
    <row r="256" spans="1:16" ht="12.75">
      <c r="A256" s="223">
        <f t="shared" si="48"/>
      </c>
      <c r="B256" s="224">
        <f t="shared" si="49"/>
      </c>
      <c r="C256" s="224">
        <f t="shared" si="50"/>
      </c>
      <c r="D256" s="235">
        <f t="shared" si="43"/>
      </c>
      <c r="E256" s="224">
        <f t="shared" si="44"/>
      </c>
      <c r="F256" s="224">
        <f t="shared" si="51"/>
      </c>
      <c r="G256" s="224">
        <f t="shared" si="52"/>
      </c>
      <c r="H256" s="224">
        <f t="shared" si="53"/>
      </c>
      <c r="I256" s="224">
        <f t="shared" si="45"/>
      </c>
      <c r="J256" s="236"/>
      <c r="K256" s="228"/>
      <c r="L256" s="238">
        <f t="shared" si="46"/>
      </c>
      <c r="M256" s="239">
        <f t="shared" si="47"/>
      </c>
      <c r="N256" s="240">
        <f t="shared" si="55"/>
      </c>
      <c r="O256" s="85">
        <f t="shared" si="56"/>
      </c>
      <c r="P256" s="85">
        <f t="shared" si="54"/>
      </c>
    </row>
    <row r="257" spans="1:16" ht="12.75">
      <c r="A257" s="223">
        <f t="shared" si="48"/>
      </c>
      <c r="B257" s="224">
        <f t="shared" si="49"/>
      </c>
      <c r="C257" s="224">
        <f t="shared" si="50"/>
      </c>
      <c r="D257" s="235">
        <f t="shared" si="43"/>
      </c>
      <c r="E257" s="224">
        <f t="shared" si="44"/>
      </c>
      <c r="F257" s="224">
        <f t="shared" si="51"/>
      </c>
      <c r="G257" s="224">
        <f t="shared" si="52"/>
      </c>
      <c r="H257" s="224">
        <f t="shared" si="53"/>
      </c>
      <c r="I257" s="224">
        <f t="shared" si="45"/>
      </c>
      <c r="J257" s="236"/>
      <c r="K257" s="228"/>
      <c r="L257" s="238">
        <f t="shared" si="46"/>
      </c>
      <c r="M257" s="239">
        <f t="shared" si="47"/>
      </c>
      <c r="N257" s="240">
        <f t="shared" si="55"/>
      </c>
      <c r="O257" s="85">
        <f t="shared" si="56"/>
      </c>
      <c r="P257" s="85">
        <f t="shared" si="54"/>
      </c>
    </row>
    <row r="258" spans="1:16" ht="12.75">
      <c r="A258" s="223">
        <f t="shared" si="48"/>
      </c>
      <c r="B258" s="224">
        <f t="shared" si="49"/>
      </c>
      <c r="C258" s="224">
        <f t="shared" si="50"/>
      </c>
      <c r="D258" s="235">
        <f t="shared" si="43"/>
      </c>
      <c r="E258" s="224">
        <f t="shared" si="44"/>
      </c>
      <c r="F258" s="224">
        <f t="shared" si="51"/>
      </c>
      <c r="G258" s="224">
        <f t="shared" si="52"/>
      </c>
      <c r="H258" s="224">
        <f t="shared" si="53"/>
      </c>
      <c r="I258" s="224">
        <f t="shared" si="45"/>
      </c>
      <c r="J258" s="236"/>
      <c r="K258" s="228"/>
      <c r="L258" s="238">
        <f t="shared" si="46"/>
      </c>
      <c r="M258" s="239">
        <f t="shared" si="47"/>
      </c>
      <c r="N258" s="240">
        <f t="shared" si="55"/>
      </c>
      <c r="O258" s="85">
        <f t="shared" si="56"/>
      </c>
      <c r="P258" s="85">
        <f t="shared" si="54"/>
      </c>
    </row>
    <row r="259" spans="1:16" ht="12.75">
      <c r="A259" s="223">
        <f t="shared" si="48"/>
      </c>
      <c r="B259" s="224">
        <f t="shared" si="49"/>
      </c>
      <c r="C259" s="224">
        <f t="shared" si="50"/>
      </c>
      <c r="D259" s="235">
        <f t="shared" si="43"/>
      </c>
      <c r="E259" s="224">
        <f t="shared" si="44"/>
      </c>
      <c r="F259" s="224">
        <f t="shared" si="51"/>
      </c>
      <c r="G259" s="224">
        <f t="shared" si="52"/>
      </c>
      <c r="H259" s="224">
        <f t="shared" si="53"/>
      </c>
      <c r="I259" s="224">
        <f t="shared" si="45"/>
      </c>
      <c r="J259" s="236"/>
      <c r="K259" s="228"/>
      <c r="L259" s="238">
        <f t="shared" si="46"/>
      </c>
      <c r="M259" s="239">
        <f t="shared" si="47"/>
      </c>
      <c r="N259" s="240">
        <f t="shared" si="55"/>
      </c>
      <c r="O259" s="85">
        <f t="shared" si="56"/>
      </c>
      <c r="P259" s="85">
        <f t="shared" si="54"/>
      </c>
    </row>
    <row r="260" spans="1:16" ht="12.75">
      <c r="A260" s="223">
        <f t="shared" si="48"/>
      </c>
      <c r="B260" s="224">
        <f t="shared" si="49"/>
      </c>
      <c r="C260" s="224">
        <f t="shared" si="50"/>
      </c>
      <c r="D260" s="235">
        <f t="shared" si="43"/>
      </c>
      <c r="E260" s="224">
        <f t="shared" si="44"/>
      </c>
      <c r="F260" s="224">
        <f t="shared" si="51"/>
      </c>
      <c r="G260" s="224">
        <f t="shared" si="52"/>
      </c>
      <c r="H260" s="224">
        <f t="shared" si="53"/>
      </c>
      <c r="I260" s="224">
        <f t="shared" si="45"/>
      </c>
      <c r="J260" s="236"/>
      <c r="K260" s="228"/>
      <c r="L260" s="238">
        <f t="shared" si="46"/>
      </c>
      <c r="M260" s="239">
        <f t="shared" si="47"/>
      </c>
      <c r="N260" s="240">
        <f t="shared" si="55"/>
      </c>
      <c r="O260" s="85">
        <f t="shared" si="56"/>
      </c>
      <c r="P260" s="85">
        <f t="shared" si="54"/>
      </c>
    </row>
    <row r="261" spans="1:16" ht="12.75">
      <c r="A261" s="223">
        <f t="shared" si="48"/>
      </c>
      <c r="B261" s="224">
        <f t="shared" si="49"/>
      </c>
      <c r="C261" s="224">
        <f t="shared" si="50"/>
      </c>
      <c r="D261" s="235">
        <f t="shared" si="43"/>
      </c>
      <c r="E261" s="224">
        <f t="shared" si="44"/>
      </c>
      <c r="F261" s="224">
        <f t="shared" si="51"/>
      </c>
      <c r="G261" s="224">
        <f t="shared" si="52"/>
      </c>
      <c r="H261" s="224">
        <f t="shared" si="53"/>
      </c>
      <c r="I261" s="224">
        <f t="shared" si="45"/>
      </c>
      <c r="J261" s="236"/>
      <c r="K261" s="228"/>
      <c r="L261" s="238">
        <f t="shared" si="46"/>
      </c>
      <c r="M261" s="239">
        <f t="shared" si="47"/>
      </c>
      <c r="N261" s="240">
        <f t="shared" si="55"/>
      </c>
      <c r="O261" s="85">
        <f t="shared" si="56"/>
      </c>
      <c r="P261" s="85">
        <f t="shared" si="54"/>
      </c>
    </row>
    <row r="262" spans="1:16" ht="12.75">
      <c r="A262" s="223">
        <f t="shared" si="48"/>
      </c>
      <c r="B262" s="224">
        <f t="shared" si="49"/>
      </c>
      <c r="C262" s="224">
        <f t="shared" si="50"/>
      </c>
      <c r="D262" s="235">
        <f t="shared" si="43"/>
      </c>
      <c r="E262" s="224">
        <f t="shared" si="44"/>
      </c>
      <c r="F262" s="224">
        <f t="shared" si="51"/>
      </c>
      <c r="G262" s="224">
        <f t="shared" si="52"/>
      </c>
      <c r="H262" s="224">
        <f t="shared" si="53"/>
      </c>
      <c r="I262" s="224">
        <f t="shared" si="45"/>
      </c>
      <c r="J262" s="236"/>
      <c r="K262" s="228"/>
      <c r="L262" s="238">
        <f t="shared" si="46"/>
      </c>
      <c r="M262" s="239">
        <f t="shared" si="47"/>
      </c>
      <c r="N262" s="240">
        <f t="shared" si="55"/>
      </c>
      <c r="O262" s="85">
        <f t="shared" si="56"/>
      </c>
      <c r="P262" s="85">
        <f t="shared" si="54"/>
      </c>
    </row>
    <row r="263" spans="1:16" ht="12.75">
      <c r="A263" s="223">
        <f t="shared" si="48"/>
      </c>
      <c r="B263" s="224">
        <f t="shared" si="49"/>
      </c>
      <c r="C263" s="224">
        <f t="shared" si="50"/>
      </c>
      <c r="D263" s="235">
        <f t="shared" si="43"/>
      </c>
      <c r="E263" s="224">
        <f t="shared" si="44"/>
      </c>
      <c r="F263" s="224">
        <f t="shared" si="51"/>
      </c>
      <c r="G263" s="224">
        <f t="shared" si="52"/>
      </c>
      <c r="H263" s="224">
        <f t="shared" si="53"/>
      </c>
      <c r="I263" s="224">
        <f t="shared" si="45"/>
      </c>
      <c r="J263" s="236"/>
      <c r="K263" s="228"/>
      <c r="L263" s="238">
        <f t="shared" si="46"/>
      </c>
      <c r="M263" s="239">
        <f t="shared" si="47"/>
      </c>
      <c r="N263" s="240">
        <f t="shared" si="55"/>
      </c>
      <c r="O263" s="85">
        <f t="shared" si="56"/>
      </c>
      <c r="P263" s="85">
        <f t="shared" si="54"/>
      </c>
    </row>
    <row r="264" spans="1:16" ht="12.75">
      <c r="A264" s="223">
        <f t="shared" si="48"/>
      </c>
      <c r="B264" s="224">
        <f t="shared" si="49"/>
      </c>
      <c r="C264" s="224">
        <f t="shared" si="50"/>
      </c>
      <c r="D264" s="235">
        <f t="shared" si="43"/>
      </c>
      <c r="E264" s="224">
        <f t="shared" si="44"/>
      </c>
      <c r="F264" s="224">
        <f t="shared" si="51"/>
      </c>
      <c r="G264" s="224">
        <f t="shared" si="52"/>
      </c>
      <c r="H264" s="224">
        <f t="shared" si="53"/>
      </c>
      <c r="I264" s="224">
        <f t="shared" si="45"/>
      </c>
      <c r="J264" s="236"/>
      <c r="K264" s="228"/>
      <c r="L264" s="238">
        <f t="shared" si="46"/>
      </c>
      <c r="M264" s="239">
        <f t="shared" si="47"/>
      </c>
      <c r="N264" s="240">
        <f t="shared" si="55"/>
      </c>
      <c r="O264" s="85">
        <f t="shared" si="56"/>
      </c>
      <c r="P264" s="85">
        <f t="shared" si="54"/>
      </c>
    </row>
    <row r="265" spans="1:16" ht="12.75">
      <c r="A265" s="223">
        <f t="shared" si="48"/>
      </c>
      <c r="B265" s="224">
        <f t="shared" si="49"/>
      </c>
      <c r="C265" s="224">
        <f t="shared" si="50"/>
      </c>
      <c r="D265" s="235">
        <f t="shared" si="43"/>
      </c>
      <c r="E265" s="224">
        <f t="shared" si="44"/>
      </c>
      <c r="F265" s="224">
        <f t="shared" si="51"/>
      </c>
      <c r="G265" s="224">
        <f t="shared" si="52"/>
      </c>
      <c r="H265" s="224">
        <f t="shared" si="53"/>
      </c>
      <c r="I265" s="224">
        <f t="shared" si="45"/>
      </c>
      <c r="J265" s="236"/>
      <c r="K265" s="228"/>
      <c r="L265" s="238">
        <f t="shared" si="46"/>
      </c>
      <c r="M265" s="239">
        <f t="shared" si="47"/>
      </c>
      <c r="N265" s="240">
        <f t="shared" si="55"/>
      </c>
      <c r="O265" s="85">
        <f t="shared" si="56"/>
      </c>
      <c r="P265" s="85">
        <f t="shared" si="54"/>
      </c>
    </row>
    <row r="266" spans="1:16" ht="12.75">
      <c r="A266" s="223">
        <f t="shared" si="48"/>
      </c>
      <c r="B266" s="224">
        <f t="shared" si="49"/>
      </c>
      <c r="C266" s="224">
        <f t="shared" si="50"/>
      </c>
      <c r="D266" s="235">
        <f t="shared" si="43"/>
      </c>
      <c r="E266" s="224">
        <f t="shared" si="44"/>
      </c>
      <c r="F266" s="224">
        <f t="shared" si="51"/>
      </c>
      <c r="G266" s="224">
        <f t="shared" si="52"/>
      </c>
      <c r="H266" s="224">
        <f t="shared" si="53"/>
      </c>
      <c r="I266" s="224">
        <f t="shared" si="45"/>
      </c>
      <c r="J266" s="236"/>
      <c r="K266" s="228"/>
      <c r="L266" s="238">
        <f t="shared" si="46"/>
      </c>
      <c r="M266" s="239">
        <f t="shared" si="47"/>
      </c>
      <c r="N266" s="240">
        <f t="shared" si="55"/>
      </c>
      <c r="O266" s="85">
        <f t="shared" si="56"/>
      </c>
      <c r="P266" s="85">
        <f t="shared" si="54"/>
      </c>
    </row>
    <row r="267" spans="1:16" ht="12.75">
      <c r="A267" s="223">
        <f t="shared" si="48"/>
      </c>
      <c r="B267" s="224">
        <f t="shared" si="49"/>
      </c>
      <c r="C267" s="224">
        <f t="shared" si="50"/>
      </c>
      <c r="D267" s="235">
        <f t="shared" si="43"/>
      </c>
      <c r="E267" s="224">
        <f t="shared" si="44"/>
      </c>
      <c r="F267" s="224">
        <f t="shared" si="51"/>
      </c>
      <c r="G267" s="224">
        <f t="shared" si="52"/>
      </c>
      <c r="H267" s="224">
        <f t="shared" si="53"/>
      </c>
      <c r="I267" s="224">
        <f t="shared" si="45"/>
      </c>
      <c r="J267" s="236"/>
      <c r="K267" s="228"/>
      <c r="L267" s="238">
        <f t="shared" si="46"/>
      </c>
      <c r="M267" s="239">
        <f t="shared" si="47"/>
      </c>
      <c r="N267" s="240">
        <f t="shared" si="55"/>
      </c>
      <c r="O267" s="85">
        <f t="shared" si="56"/>
      </c>
      <c r="P267" s="85">
        <f t="shared" si="54"/>
      </c>
    </row>
    <row r="268" spans="1:16" ht="12.75">
      <c r="A268" s="223">
        <f t="shared" si="48"/>
      </c>
      <c r="B268" s="224">
        <f t="shared" si="49"/>
      </c>
      <c r="C268" s="224">
        <f t="shared" si="50"/>
      </c>
      <c r="D268" s="235">
        <f t="shared" si="43"/>
      </c>
      <c r="E268" s="224">
        <f t="shared" si="44"/>
      </c>
      <c r="F268" s="224">
        <f t="shared" si="51"/>
      </c>
      <c r="G268" s="224">
        <f t="shared" si="52"/>
      </c>
      <c r="H268" s="224">
        <f t="shared" si="53"/>
      </c>
      <c r="I268" s="224">
        <f t="shared" si="45"/>
      </c>
      <c r="J268" s="236"/>
      <c r="K268" s="228"/>
      <c r="L268" s="238">
        <f t="shared" si="46"/>
      </c>
      <c r="M268" s="239">
        <f t="shared" si="47"/>
      </c>
      <c r="N268" s="240">
        <f t="shared" si="55"/>
      </c>
      <c r="O268" s="85">
        <f t="shared" si="56"/>
      </c>
      <c r="P268" s="85">
        <f t="shared" si="54"/>
      </c>
    </row>
    <row r="269" spans="1:16" ht="12.75">
      <c r="A269" s="223">
        <f t="shared" si="48"/>
      </c>
      <c r="B269" s="224">
        <f t="shared" si="49"/>
      </c>
      <c r="C269" s="224">
        <f t="shared" si="50"/>
      </c>
      <c r="D269" s="235">
        <f t="shared" si="43"/>
      </c>
      <c r="E269" s="224">
        <f t="shared" si="44"/>
      </c>
      <c r="F269" s="224">
        <f t="shared" si="51"/>
      </c>
      <c r="G269" s="224">
        <f t="shared" si="52"/>
      </c>
      <c r="H269" s="224">
        <f t="shared" si="53"/>
      </c>
      <c r="I269" s="224">
        <f t="shared" si="45"/>
      </c>
      <c r="J269" s="236"/>
      <c r="K269" s="228"/>
      <c r="L269" s="238">
        <f t="shared" si="46"/>
      </c>
      <c r="M269" s="239">
        <f t="shared" si="47"/>
      </c>
      <c r="N269" s="240">
        <f t="shared" si="55"/>
      </c>
      <c r="O269" s="85">
        <f t="shared" si="56"/>
      </c>
      <c r="P269" s="85">
        <f t="shared" si="54"/>
      </c>
    </row>
    <row r="270" spans="1:16" ht="12.75">
      <c r="A270" s="223">
        <f t="shared" si="48"/>
      </c>
      <c r="B270" s="224">
        <f t="shared" si="49"/>
      </c>
      <c r="C270" s="224">
        <f t="shared" si="50"/>
      </c>
      <c r="D270" s="235">
        <f t="shared" si="43"/>
      </c>
      <c r="E270" s="224">
        <f t="shared" si="44"/>
      </c>
      <c r="F270" s="224">
        <f t="shared" si="51"/>
      </c>
      <c r="G270" s="224">
        <f t="shared" si="52"/>
      </c>
      <c r="H270" s="224">
        <f t="shared" si="53"/>
      </c>
      <c r="I270" s="224">
        <f t="shared" si="45"/>
      </c>
      <c r="J270" s="236"/>
      <c r="K270" s="228"/>
      <c r="L270" s="238">
        <f t="shared" si="46"/>
      </c>
      <c r="M270" s="239">
        <f t="shared" si="47"/>
      </c>
      <c r="N270" s="240">
        <f t="shared" si="55"/>
      </c>
      <c r="O270" s="85">
        <f t="shared" si="56"/>
      </c>
      <c r="P270" s="85">
        <f t="shared" si="54"/>
      </c>
    </row>
    <row r="271" spans="1:16" ht="12.75">
      <c r="A271" s="223">
        <f t="shared" si="48"/>
      </c>
      <c r="B271" s="224">
        <f t="shared" si="49"/>
      </c>
      <c r="C271" s="224">
        <f t="shared" si="50"/>
      </c>
      <c r="D271" s="235">
        <f t="shared" si="43"/>
      </c>
      <c r="E271" s="224">
        <f t="shared" si="44"/>
      </c>
      <c r="F271" s="224">
        <f t="shared" si="51"/>
      </c>
      <c r="G271" s="224">
        <f t="shared" si="52"/>
      </c>
      <c r="H271" s="224">
        <f t="shared" si="53"/>
      </c>
      <c r="I271" s="224">
        <f t="shared" si="45"/>
      </c>
      <c r="J271" s="236"/>
      <c r="K271" s="228"/>
      <c r="L271" s="238">
        <f t="shared" si="46"/>
      </c>
      <c r="M271" s="239">
        <f t="shared" si="47"/>
      </c>
      <c r="N271" s="240">
        <f t="shared" si="55"/>
      </c>
      <c r="O271" s="85">
        <f t="shared" si="56"/>
      </c>
      <c r="P271" s="85">
        <f t="shared" si="54"/>
      </c>
    </row>
    <row r="272" spans="1:16" ht="12.75">
      <c r="A272" s="223">
        <f t="shared" si="48"/>
      </c>
      <c r="B272" s="224">
        <f t="shared" si="49"/>
      </c>
      <c r="C272" s="224">
        <f t="shared" si="50"/>
      </c>
      <c r="D272" s="235">
        <f t="shared" si="43"/>
      </c>
      <c r="E272" s="224">
        <f t="shared" si="44"/>
      </c>
      <c r="F272" s="224">
        <f t="shared" si="51"/>
      </c>
      <c r="G272" s="224">
        <f t="shared" si="52"/>
      </c>
      <c r="H272" s="224">
        <f t="shared" si="53"/>
      </c>
      <c r="I272" s="224">
        <f t="shared" si="45"/>
      </c>
      <c r="J272" s="236"/>
      <c r="K272" s="228"/>
      <c r="L272" s="238">
        <f t="shared" si="46"/>
      </c>
      <c r="M272" s="239">
        <f t="shared" si="47"/>
      </c>
      <c r="N272" s="240">
        <f t="shared" si="55"/>
      </c>
      <c r="O272" s="85">
        <f t="shared" si="56"/>
      </c>
      <c r="P272" s="85">
        <f t="shared" si="54"/>
      </c>
    </row>
    <row r="273" spans="1:16" ht="12.75">
      <c r="A273" s="223">
        <f t="shared" si="48"/>
      </c>
      <c r="B273" s="224">
        <f t="shared" si="49"/>
      </c>
      <c r="C273" s="224">
        <f t="shared" si="50"/>
      </c>
      <c r="D273" s="235">
        <f t="shared" si="43"/>
      </c>
      <c r="E273" s="224">
        <f t="shared" si="44"/>
      </c>
      <c r="F273" s="224">
        <f t="shared" si="51"/>
      </c>
      <c r="G273" s="224">
        <f t="shared" si="52"/>
      </c>
      <c r="H273" s="224">
        <f t="shared" si="53"/>
      </c>
      <c r="I273" s="224">
        <f t="shared" si="45"/>
      </c>
      <c r="J273" s="236"/>
      <c r="K273" s="228"/>
      <c r="L273" s="238">
        <f t="shared" si="46"/>
      </c>
      <c r="M273" s="239">
        <f t="shared" si="47"/>
      </c>
      <c r="N273" s="240">
        <f t="shared" si="55"/>
      </c>
      <c r="O273" s="85">
        <f t="shared" si="56"/>
      </c>
      <c r="P273" s="85">
        <f t="shared" si="54"/>
      </c>
    </row>
    <row r="274" spans="1:16" ht="12.75">
      <c r="A274" s="223">
        <f t="shared" si="48"/>
      </c>
      <c r="B274" s="224">
        <f t="shared" si="49"/>
      </c>
      <c r="C274" s="224">
        <f t="shared" si="50"/>
      </c>
      <c r="D274" s="235">
        <f t="shared" si="43"/>
      </c>
      <c r="E274" s="224">
        <f t="shared" si="44"/>
      </c>
      <c r="F274" s="224">
        <f t="shared" si="51"/>
      </c>
      <c r="G274" s="224">
        <f t="shared" si="52"/>
      </c>
      <c r="H274" s="224">
        <f t="shared" si="53"/>
      </c>
      <c r="I274" s="224">
        <f t="shared" si="45"/>
      </c>
      <c r="J274" s="236"/>
      <c r="K274" s="228"/>
      <c r="L274" s="238">
        <f t="shared" si="46"/>
      </c>
      <c r="M274" s="239">
        <f t="shared" si="47"/>
      </c>
      <c r="N274" s="240">
        <f t="shared" si="55"/>
      </c>
      <c r="O274" s="85">
        <f t="shared" si="56"/>
      </c>
      <c r="P274" s="85">
        <f t="shared" si="54"/>
      </c>
    </row>
    <row r="275" spans="1:16" ht="12.75">
      <c r="A275" s="223">
        <f t="shared" si="48"/>
      </c>
      <c r="B275" s="224">
        <f t="shared" si="49"/>
      </c>
      <c r="C275" s="224">
        <f t="shared" si="50"/>
      </c>
      <c r="D275" s="235">
        <f t="shared" si="43"/>
      </c>
      <c r="E275" s="224">
        <f t="shared" si="44"/>
      </c>
      <c r="F275" s="224">
        <f t="shared" si="51"/>
      </c>
      <c r="G275" s="224">
        <f t="shared" si="52"/>
      </c>
      <c r="H275" s="224">
        <f t="shared" si="53"/>
      </c>
      <c r="I275" s="224">
        <f t="shared" si="45"/>
      </c>
      <c r="J275" s="236"/>
      <c r="K275" s="228"/>
      <c r="L275" s="238">
        <f t="shared" si="46"/>
      </c>
      <c r="M275" s="239">
        <f t="shared" si="47"/>
      </c>
      <c r="N275" s="240">
        <f t="shared" si="55"/>
      </c>
      <c r="O275" s="85">
        <f t="shared" si="56"/>
      </c>
      <c r="P275" s="85">
        <f t="shared" si="54"/>
      </c>
    </row>
    <row r="276" spans="1:16" ht="12.75">
      <c r="A276" s="223">
        <f t="shared" si="48"/>
      </c>
      <c r="B276" s="224">
        <f t="shared" si="49"/>
      </c>
      <c r="C276" s="224">
        <f t="shared" si="50"/>
      </c>
      <c r="D276" s="235">
        <f t="shared" si="43"/>
      </c>
      <c r="E276" s="224">
        <f t="shared" si="44"/>
      </c>
      <c r="F276" s="224">
        <f t="shared" si="51"/>
      </c>
      <c r="G276" s="224">
        <f t="shared" si="52"/>
      </c>
      <c r="H276" s="224">
        <f t="shared" si="53"/>
      </c>
      <c r="I276" s="224">
        <f t="shared" si="45"/>
      </c>
      <c r="J276" s="236"/>
      <c r="K276" s="228"/>
      <c r="L276" s="238">
        <f t="shared" si="46"/>
      </c>
      <c r="M276" s="239">
        <f t="shared" si="47"/>
      </c>
      <c r="N276" s="240">
        <f t="shared" si="55"/>
      </c>
      <c r="O276" s="85">
        <f t="shared" si="56"/>
      </c>
      <c r="P276" s="85">
        <f t="shared" si="54"/>
      </c>
    </row>
    <row r="277" spans="1:16" ht="12.75">
      <c r="A277" s="223">
        <f t="shared" si="48"/>
      </c>
      <c r="B277" s="224">
        <f t="shared" si="49"/>
      </c>
      <c r="C277" s="224">
        <f t="shared" si="50"/>
      </c>
      <c r="D277" s="235">
        <f t="shared" si="43"/>
      </c>
      <c r="E277" s="224">
        <f t="shared" si="44"/>
      </c>
      <c r="F277" s="224">
        <f t="shared" si="51"/>
      </c>
      <c r="G277" s="224">
        <f t="shared" si="52"/>
      </c>
      <c r="H277" s="224">
        <f t="shared" si="53"/>
      </c>
      <c r="I277" s="224">
        <f t="shared" si="45"/>
      </c>
      <c r="J277" s="236"/>
      <c r="K277" s="228"/>
      <c r="L277" s="238">
        <f t="shared" si="46"/>
      </c>
      <c r="M277" s="239">
        <f t="shared" si="47"/>
      </c>
      <c r="N277" s="240">
        <f t="shared" si="55"/>
      </c>
      <c r="O277" s="85">
        <f t="shared" si="56"/>
      </c>
      <c r="P277" s="85">
        <f t="shared" si="54"/>
      </c>
    </row>
    <row r="278" spans="1:16" ht="12.75">
      <c r="A278" s="223">
        <f t="shared" si="48"/>
      </c>
      <c r="B278" s="224">
        <f t="shared" si="49"/>
      </c>
      <c r="C278" s="224">
        <f t="shared" si="50"/>
      </c>
      <c r="D278" s="235">
        <f t="shared" si="43"/>
      </c>
      <c r="E278" s="224">
        <f t="shared" si="44"/>
      </c>
      <c r="F278" s="224">
        <f t="shared" si="51"/>
      </c>
      <c r="G278" s="224">
        <f t="shared" si="52"/>
      </c>
      <c r="H278" s="224">
        <f t="shared" si="53"/>
      </c>
      <c r="I278" s="224">
        <f t="shared" si="45"/>
      </c>
      <c r="J278" s="236"/>
      <c r="K278" s="228"/>
      <c r="L278" s="238">
        <f t="shared" si="46"/>
      </c>
      <c r="M278" s="239">
        <f t="shared" si="47"/>
      </c>
      <c r="N278" s="240">
        <f t="shared" si="55"/>
      </c>
      <c r="O278" s="85">
        <f t="shared" si="56"/>
      </c>
      <c r="P278" s="85">
        <f t="shared" si="54"/>
      </c>
    </row>
    <row r="279" spans="1:16" ht="12.75">
      <c r="A279" s="223">
        <f t="shared" si="48"/>
      </c>
      <c r="B279" s="224">
        <f t="shared" si="49"/>
      </c>
      <c r="C279" s="224">
        <f t="shared" si="50"/>
      </c>
      <c r="D279" s="235">
        <f t="shared" si="43"/>
      </c>
      <c r="E279" s="224">
        <f t="shared" si="44"/>
      </c>
      <c r="F279" s="224">
        <f t="shared" si="51"/>
      </c>
      <c r="G279" s="224">
        <f t="shared" si="52"/>
      </c>
      <c r="H279" s="224">
        <f t="shared" si="53"/>
      </c>
      <c r="I279" s="224">
        <f t="shared" si="45"/>
      </c>
      <c r="J279" s="236"/>
      <c r="K279" s="228"/>
      <c r="L279" s="238">
        <f t="shared" si="46"/>
      </c>
      <c r="M279" s="239">
        <f t="shared" si="47"/>
      </c>
      <c r="N279" s="240">
        <f t="shared" si="55"/>
      </c>
      <c r="O279" s="85">
        <f t="shared" si="56"/>
      </c>
      <c r="P279" s="85">
        <f t="shared" si="54"/>
      </c>
    </row>
    <row r="280" spans="1:16" ht="12.75">
      <c r="A280" s="223">
        <f t="shared" si="48"/>
      </c>
      <c r="B280" s="224">
        <f t="shared" si="49"/>
      </c>
      <c r="C280" s="224">
        <f t="shared" si="50"/>
      </c>
      <c r="D280" s="235">
        <f t="shared" si="43"/>
      </c>
      <c r="E280" s="224">
        <f t="shared" si="44"/>
      </c>
      <c r="F280" s="224">
        <f t="shared" si="51"/>
      </c>
      <c r="G280" s="224">
        <f t="shared" si="52"/>
      </c>
      <c r="H280" s="224">
        <f t="shared" si="53"/>
      </c>
      <c r="I280" s="224">
        <f t="shared" si="45"/>
      </c>
      <c r="J280" s="236"/>
      <c r="K280" s="228"/>
      <c r="L280" s="238">
        <f t="shared" si="46"/>
      </c>
      <c r="M280" s="239">
        <f t="shared" si="47"/>
      </c>
      <c r="N280" s="240">
        <f t="shared" si="55"/>
      </c>
      <c r="O280" s="85">
        <f t="shared" si="56"/>
      </c>
      <c r="P280" s="85">
        <f t="shared" si="54"/>
      </c>
    </row>
    <row r="281" spans="1:16" ht="12.75">
      <c r="A281" s="223">
        <f t="shared" si="48"/>
      </c>
      <c r="B281" s="224">
        <f t="shared" si="49"/>
      </c>
      <c r="C281" s="224">
        <f t="shared" si="50"/>
      </c>
      <c r="D281" s="235">
        <f t="shared" si="43"/>
      </c>
      <c r="E281" s="224">
        <f t="shared" si="44"/>
      </c>
      <c r="F281" s="224">
        <f t="shared" si="51"/>
      </c>
      <c r="G281" s="224">
        <f t="shared" si="52"/>
      </c>
      <c r="H281" s="224">
        <f t="shared" si="53"/>
      </c>
      <c r="I281" s="224">
        <f t="shared" si="45"/>
      </c>
      <c r="J281" s="236"/>
      <c r="K281" s="228"/>
      <c r="L281" s="238">
        <f t="shared" si="46"/>
      </c>
      <c r="M281" s="239">
        <f t="shared" si="47"/>
      </c>
      <c r="N281" s="240">
        <f t="shared" si="55"/>
      </c>
      <c r="O281" s="85">
        <f t="shared" si="56"/>
      </c>
      <c r="P281" s="85">
        <f t="shared" si="54"/>
      </c>
    </row>
    <row r="282" spans="1:16" ht="12.75">
      <c r="A282" s="223">
        <f t="shared" si="48"/>
      </c>
      <c r="B282" s="224">
        <f t="shared" si="49"/>
      </c>
      <c r="C282" s="224">
        <f t="shared" si="50"/>
      </c>
      <c r="D282" s="235">
        <f t="shared" si="43"/>
      </c>
      <c r="E282" s="224">
        <f t="shared" si="44"/>
      </c>
      <c r="F282" s="224">
        <f t="shared" si="51"/>
      </c>
      <c r="G282" s="224">
        <f t="shared" si="52"/>
      </c>
      <c r="H282" s="224">
        <f t="shared" si="53"/>
      </c>
      <c r="I282" s="224">
        <f t="shared" si="45"/>
      </c>
      <c r="J282" s="236"/>
      <c r="K282" s="228"/>
      <c r="L282" s="238">
        <f t="shared" si="46"/>
      </c>
      <c r="M282" s="239">
        <f t="shared" si="47"/>
      </c>
      <c r="N282" s="240">
        <f t="shared" si="55"/>
      </c>
      <c r="O282" s="85">
        <f t="shared" si="56"/>
      </c>
      <c r="P282" s="85">
        <f t="shared" si="54"/>
      </c>
    </row>
    <row r="283" spans="1:16" ht="12.75">
      <c r="A283" s="223">
        <f t="shared" si="48"/>
      </c>
      <c r="B283" s="224">
        <f t="shared" si="49"/>
      </c>
      <c r="C283" s="224">
        <f t="shared" si="50"/>
      </c>
      <c r="D283" s="235">
        <f t="shared" si="43"/>
      </c>
      <c r="E283" s="224">
        <f t="shared" si="44"/>
      </c>
      <c r="F283" s="224">
        <f t="shared" si="51"/>
      </c>
      <c r="G283" s="224">
        <f t="shared" si="52"/>
      </c>
      <c r="H283" s="224">
        <f t="shared" si="53"/>
      </c>
      <c r="I283" s="224">
        <f t="shared" si="45"/>
      </c>
      <c r="J283" s="236"/>
      <c r="K283" s="228"/>
      <c r="L283" s="238">
        <f t="shared" si="46"/>
      </c>
      <c r="M283" s="239">
        <f t="shared" si="47"/>
      </c>
      <c r="N283" s="240">
        <f t="shared" si="55"/>
      </c>
      <c r="O283" s="85">
        <f t="shared" si="56"/>
      </c>
      <c r="P283" s="85">
        <f t="shared" si="54"/>
      </c>
    </row>
    <row r="284" spans="1:16" ht="12.75">
      <c r="A284" s="223">
        <f t="shared" si="48"/>
      </c>
      <c r="B284" s="224">
        <f t="shared" si="49"/>
      </c>
      <c r="C284" s="224">
        <f t="shared" si="50"/>
      </c>
      <c r="D284" s="235">
        <f t="shared" si="43"/>
      </c>
      <c r="E284" s="224">
        <f t="shared" si="44"/>
      </c>
      <c r="F284" s="224">
        <f t="shared" si="51"/>
      </c>
      <c r="G284" s="224">
        <f t="shared" si="52"/>
      </c>
      <c r="H284" s="224">
        <f t="shared" si="53"/>
      </c>
      <c r="I284" s="224">
        <f t="shared" si="45"/>
      </c>
      <c r="J284" s="236"/>
      <c r="K284" s="228"/>
      <c r="L284" s="238">
        <f t="shared" si="46"/>
      </c>
      <c r="M284" s="239">
        <f t="shared" si="47"/>
      </c>
      <c r="N284" s="240">
        <f t="shared" si="55"/>
      </c>
      <c r="O284" s="85">
        <f t="shared" si="56"/>
      </c>
      <c r="P284" s="85">
        <f t="shared" si="54"/>
      </c>
    </row>
    <row r="285" spans="1:16" ht="12.75">
      <c r="A285" s="223">
        <f t="shared" si="48"/>
      </c>
      <c r="B285" s="224">
        <f t="shared" si="49"/>
      </c>
      <c r="C285" s="224">
        <f t="shared" si="50"/>
      </c>
      <c r="D285" s="235">
        <f t="shared" si="43"/>
      </c>
      <c r="E285" s="224">
        <f t="shared" si="44"/>
      </c>
      <c r="F285" s="224">
        <f t="shared" si="51"/>
      </c>
      <c r="G285" s="224">
        <f t="shared" si="52"/>
      </c>
      <c r="H285" s="224">
        <f t="shared" si="53"/>
      </c>
      <c r="I285" s="224">
        <f t="shared" si="45"/>
      </c>
      <c r="J285" s="236"/>
      <c r="K285" s="228"/>
      <c r="L285" s="238">
        <f t="shared" si="46"/>
      </c>
      <c r="M285" s="239">
        <f t="shared" si="47"/>
      </c>
      <c r="N285" s="240">
        <f t="shared" si="55"/>
      </c>
      <c r="O285" s="85">
        <f t="shared" si="56"/>
      </c>
      <c r="P285" s="85">
        <f t="shared" si="54"/>
      </c>
    </row>
    <row r="286" spans="1:16" ht="12.75">
      <c r="A286" s="223">
        <f t="shared" si="48"/>
      </c>
      <c r="B286" s="224">
        <f t="shared" si="49"/>
      </c>
      <c r="C286" s="224">
        <f t="shared" si="50"/>
      </c>
      <c r="D286" s="235">
        <f t="shared" si="43"/>
      </c>
      <c r="E286" s="224">
        <f t="shared" si="44"/>
      </c>
      <c r="F286" s="224">
        <f t="shared" si="51"/>
      </c>
      <c r="G286" s="224">
        <f t="shared" si="52"/>
      </c>
      <c r="H286" s="224">
        <f t="shared" si="53"/>
      </c>
      <c r="I286" s="224">
        <f t="shared" si="45"/>
      </c>
      <c r="J286" s="236"/>
      <c r="K286" s="228"/>
      <c r="L286" s="238">
        <f t="shared" si="46"/>
      </c>
      <c r="M286" s="239">
        <f t="shared" si="47"/>
      </c>
      <c r="N286" s="240">
        <f t="shared" si="55"/>
      </c>
      <c r="O286" s="85">
        <f t="shared" si="56"/>
      </c>
      <c r="P286" s="85">
        <f t="shared" si="54"/>
      </c>
    </row>
    <row r="287" spans="1:16" ht="12.75">
      <c r="A287" s="223">
        <f t="shared" si="48"/>
      </c>
      <c r="B287" s="224">
        <f t="shared" si="49"/>
      </c>
      <c r="C287" s="224">
        <f t="shared" si="50"/>
      </c>
      <c r="D287" s="235">
        <f t="shared" si="43"/>
      </c>
      <c r="E287" s="224">
        <f t="shared" si="44"/>
      </c>
      <c r="F287" s="224">
        <f t="shared" si="51"/>
      </c>
      <c r="G287" s="224">
        <f t="shared" si="52"/>
      </c>
      <c r="H287" s="224">
        <f t="shared" si="53"/>
      </c>
      <c r="I287" s="224">
        <f t="shared" si="45"/>
      </c>
      <c r="J287" s="236"/>
      <c r="K287" s="228"/>
      <c r="L287" s="238">
        <f t="shared" si="46"/>
      </c>
      <c r="M287" s="239">
        <f t="shared" si="47"/>
      </c>
      <c r="N287" s="240">
        <f t="shared" si="55"/>
      </c>
      <c r="O287" s="85">
        <f t="shared" si="56"/>
      </c>
      <c r="P287" s="85">
        <f t="shared" si="54"/>
      </c>
    </row>
    <row r="288" spans="1:16" ht="12.75">
      <c r="A288" s="223">
        <f t="shared" si="48"/>
      </c>
      <c r="B288" s="224">
        <f t="shared" si="49"/>
      </c>
      <c r="C288" s="224">
        <f t="shared" si="50"/>
      </c>
      <c r="D288" s="235">
        <f t="shared" si="43"/>
      </c>
      <c r="E288" s="224">
        <f t="shared" si="44"/>
      </c>
      <c r="F288" s="224">
        <f t="shared" si="51"/>
      </c>
      <c r="G288" s="224">
        <f t="shared" si="52"/>
      </c>
      <c r="H288" s="224">
        <f t="shared" si="53"/>
      </c>
      <c r="I288" s="224">
        <f t="shared" si="45"/>
      </c>
      <c r="J288" s="236"/>
      <c r="K288" s="228"/>
      <c r="L288" s="238">
        <f t="shared" si="46"/>
      </c>
      <c r="M288" s="239">
        <f t="shared" si="47"/>
      </c>
      <c r="N288" s="240">
        <f t="shared" si="55"/>
      </c>
      <c r="O288" s="85">
        <f t="shared" si="56"/>
      </c>
      <c r="P288" s="85">
        <f t="shared" si="54"/>
      </c>
    </row>
    <row r="289" spans="1:16" ht="12.75">
      <c r="A289" s="223">
        <f t="shared" si="48"/>
      </c>
      <c r="B289" s="224">
        <f t="shared" si="49"/>
      </c>
      <c r="C289" s="224">
        <f t="shared" si="50"/>
      </c>
      <c r="D289" s="235">
        <f t="shared" si="43"/>
      </c>
      <c r="E289" s="224">
        <f t="shared" si="44"/>
      </c>
      <c r="F289" s="224">
        <f t="shared" si="51"/>
      </c>
      <c r="G289" s="224">
        <f t="shared" si="52"/>
      </c>
      <c r="H289" s="224">
        <f t="shared" si="53"/>
      </c>
      <c r="I289" s="224">
        <f t="shared" si="45"/>
      </c>
      <c r="J289" s="236"/>
      <c r="K289" s="228"/>
      <c r="L289" s="238">
        <f t="shared" si="46"/>
      </c>
      <c r="M289" s="239">
        <f t="shared" si="47"/>
      </c>
      <c r="N289" s="240">
        <f t="shared" si="55"/>
      </c>
      <c r="O289" s="85">
        <f t="shared" si="56"/>
      </c>
      <c r="P289" s="85">
        <f t="shared" si="54"/>
      </c>
    </row>
    <row r="290" spans="1:16" ht="12.75">
      <c r="A290" s="223">
        <f t="shared" si="48"/>
      </c>
      <c r="B290" s="224">
        <f t="shared" si="49"/>
      </c>
      <c r="C290" s="224">
        <f t="shared" si="50"/>
      </c>
      <c r="D290" s="235">
        <f t="shared" si="43"/>
      </c>
      <c r="E290" s="224">
        <f t="shared" si="44"/>
      </c>
      <c r="F290" s="224">
        <f t="shared" si="51"/>
      </c>
      <c r="G290" s="224">
        <f t="shared" si="52"/>
      </c>
      <c r="H290" s="224">
        <f t="shared" si="53"/>
      </c>
      <c r="I290" s="224">
        <f t="shared" si="45"/>
      </c>
      <c r="J290" s="236"/>
      <c r="K290" s="228"/>
      <c r="L290" s="238">
        <f t="shared" si="46"/>
      </c>
      <c r="M290" s="239">
        <f t="shared" si="47"/>
      </c>
      <c r="N290" s="240">
        <f t="shared" si="55"/>
      </c>
      <c r="O290" s="85">
        <f t="shared" si="56"/>
      </c>
      <c r="P290" s="85">
        <f t="shared" si="54"/>
      </c>
    </row>
    <row r="291" spans="1:16" ht="12.75">
      <c r="A291" s="223">
        <f t="shared" si="48"/>
      </c>
      <c r="B291" s="224">
        <f t="shared" si="49"/>
      </c>
      <c r="C291" s="224">
        <f t="shared" si="50"/>
      </c>
      <c r="D291" s="235">
        <f t="shared" si="43"/>
      </c>
      <c r="E291" s="224">
        <f t="shared" si="44"/>
      </c>
      <c r="F291" s="224">
        <f t="shared" si="51"/>
      </c>
      <c r="G291" s="224">
        <f t="shared" si="52"/>
      </c>
      <c r="H291" s="224">
        <f t="shared" si="53"/>
      </c>
      <c r="I291" s="224">
        <f t="shared" si="45"/>
      </c>
      <c r="J291" s="236"/>
      <c r="K291" s="228"/>
      <c r="L291" s="238">
        <f t="shared" si="46"/>
      </c>
      <c r="M291" s="239">
        <f t="shared" si="47"/>
      </c>
      <c r="N291" s="240">
        <f t="shared" si="55"/>
      </c>
      <c r="O291" s="85">
        <f t="shared" si="56"/>
      </c>
      <c r="P291" s="85">
        <f t="shared" si="54"/>
      </c>
    </row>
    <row r="292" spans="1:16" ht="12.75">
      <c r="A292" s="223">
        <f t="shared" si="48"/>
      </c>
      <c r="B292" s="224">
        <f t="shared" si="49"/>
      </c>
      <c r="C292" s="224">
        <f t="shared" si="50"/>
      </c>
      <c r="D292" s="235">
        <f t="shared" si="43"/>
      </c>
      <c r="E292" s="224">
        <f t="shared" si="44"/>
      </c>
      <c r="F292" s="224">
        <f t="shared" si="51"/>
      </c>
      <c r="G292" s="224">
        <f t="shared" si="52"/>
      </c>
      <c r="H292" s="224">
        <f t="shared" si="53"/>
      </c>
      <c r="I292" s="224">
        <f t="shared" si="45"/>
      </c>
      <c r="J292" s="236"/>
      <c r="K292" s="228"/>
      <c r="L292" s="238">
        <f t="shared" si="46"/>
      </c>
      <c r="M292" s="239">
        <f t="shared" si="47"/>
      </c>
      <c r="N292" s="240">
        <f t="shared" si="55"/>
      </c>
      <c r="O292" s="85">
        <f t="shared" si="56"/>
      </c>
      <c r="P292" s="85">
        <f t="shared" si="54"/>
      </c>
    </row>
    <row r="293" spans="1:16" ht="12.75">
      <c r="A293" s="223">
        <f t="shared" si="48"/>
      </c>
      <c r="B293" s="224">
        <f t="shared" si="49"/>
      </c>
      <c r="C293" s="224">
        <f t="shared" si="50"/>
      </c>
      <c r="D293" s="235">
        <f t="shared" si="43"/>
      </c>
      <c r="E293" s="224">
        <f t="shared" si="44"/>
      </c>
      <c r="F293" s="224">
        <f t="shared" si="51"/>
      </c>
      <c r="G293" s="224">
        <f t="shared" si="52"/>
      </c>
      <c r="H293" s="224">
        <f t="shared" si="53"/>
      </c>
      <c r="I293" s="224">
        <f t="shared" si="45"/>
      </c>
      <c r="J293" s="236"/>
      <c r="K293" s="228"/>
      <c r="L293" s="238">
        <f t="shared" si="46"/>
      </c>
      <c r="M293" s="239">
        <f t="shared" si="47"/>
      </c>
      <c r="N293" s="240">
        <f t="shared" si="55"/>
      </c>
      <c r="O293" s="85">
        <f t="shared" si="56"/>
      </c>
      <c r="P293" s="85">
        <f t="shared" si="54"/>
      </c>
    </row>
    <row r="294" spans="1:16" ht="12.75">
      <c r="A294" s="223">
        <f t="shared" si="48"/>
      </c>
      <c r="B294" s="224">
        <f t="shared" si="49"/>
      </c>
      <c r="C294" s="224">
        <f t="shared" si="50"/>
      </c>
      <c r="D294" s="235">
        <f t="shared" si="43"/>
      </c>
      <c r="E294" s="224">
        <f t="shared" si="44"/>
      </c>
      <c r="F294" s="224">
        <f t="shared" si="51"/>
      </c>
      <c r="G294" s="224">
        <f t="shared" si="52"/>
      </c>
      <c r="H294" s="224">
        <f t="shared" si="53"/>
      </c>
      <c r="I294" s="224">
        <f t="shared" si="45"/>
      </c>
      <c r="J294" s="236"/>
      <c r="K294" s="228"/>
      <c r="L294" s="238">
        <f t="shared" si="46"/>
      </c>
      <c r="M294" s="239">
        <f t="shared" si="47"/>
      </c>
      <c r="N294" s="240">
        <f t="shared" si="55"/>
      </c>
      <c r="O294" s="85">
        <f t="shared" si="56"/>
      </c>
      <c r="P294" s="85">
        <f t="shared" si="54"/>
      </c>
    </row>
    <row r="295" spans="1:16" ht="12.75">
      <c r="A295" s="223">
        <f t="shared" si="48"/>
      </c>
      <c r="B295" s="224">
        <f t="shared" si="49"/>
      </c>
      <c r="C295" s="224">
        <f t="shared" si="50"/>
      </c>
      <c r="D295" s="235">
        <f t="shared" si="43"/>
      </c>
      <c r="E295" s="224">
        <f t="shared" si="44"/>
      </c>
      <c r="F295" s="224">
        <f t="shared" si="51"/>
      </c>
      <c r="G295" s="224">
        <f t="shared" si="52"/>
      </c>
      <c r="H295" s="224">
        <f t="shared" si="53"/>
      </c>
      <c r="I295" s="224">
        <f t="shared" si="45"/>
      </c>
      <c r="J295" s="236"/>
      <c r="K295" s="228"/>
      <c r="L295" s="238">
        <f t="shared" si="46"/>
      </c>
      <c r="M295" s="239">
        <f t="shared" si="47"/>
      </c>
      <c r="N295" s="240">
        <f t="shared" si="55"/>
      </c>
      <c r="O295" s="85">
        <f t="shared" si="56"/>
      </c>
      <c r="P295" s="85">
        <f t="shared" si="54"/>
      </c>
    </row>
    <row r="296" spans="1:16" ht="12.75">
      <c r="A296" s="223">
        <f t="shared" si="48"/>
      </c>
      <c r="B296" s="224">
        <f t="shared" si="49"/>
      </c>
      <c r="C296" s="224">
        <f t="shared" si="50"/>
      </c>
      <c r="D296" s="235">
        <f t="shared" si="43"/>
      </c>
      <c r="E296" s="224">
        <f t="shared" si="44"/>
      </c>
      <c r="F296" s="224">
        <f t="shared" si="51"/>
      </c>
      <c r="G296" s="224">
        <f t="shared" si="52"/>
      </c>
      <c r="H296" s="224">
        <f t="shared" si="53"/>
      </c>
      <c r="I296" s="224">
        <f t="shared" si="45"/>
      </c>
      <c r="J296" s="236"/>
      <c r="K296" s="228"/>
      <c r="L296" s="238">
        <f t="shared" si="46"/>
      </c>
      <c r="M296" s="239">
        <f t="shared" si="47"/>
      </c>
      <c r="N296" s="240">
        <f t="shared" si="55"/>
      </c>
      <c r="O296" s="85">
        <f t="shared" si="56"/>
      </c>
      <c r="P296" s="85">
        <f t="shared" si="54"/>
      </c>
    </row>
    <row r="297" spans="1:14" ht="12.75" hidden="1">
      <c r="A297" s="223">
        <f t="shared" si="48"/>
      </c>
      <c r="B297" s="224">
        <f t="shared" si="49"/>
      </c>
      <c r="C297" s="224">
        <f t="shared" si="50"/>
      </c>
      <c r="D297" s="235">
        <f t="shared" si="43"/>
      </c>
      <c r="E297" s="224">
        <f t="shared" si="44"/>
      </c>
      <c r="F297" s="224">
        <f t="shared" si="51"/>
      </c>
      <c r="G297" s="224">
        <f t="shared" si="52"/>
      </c>
      <c r="H297" s="224">
        <f t="shared" si="53"/>
      </c>
      <c r="I297" s="224">
        <f t="shared" si="45"/>
      </c>
      <c r="J297" s="227">
        <v>0</v>
      </c>
      <c r="K297" s="252"/>
      <c r="L297" s="253">
        <f t="shared" si="46"/>
      </c>
      <c r="M297" s="239">
        <f t="shared" si="47"/>
      </c>
      <c r="N297" s="254"/>
    </row>
    <row r="298" spans="1:14" ht="12.75" hidden="1">
      <c r="A298" s="223">
        <f t="shared" si="48"/>
      </c>
      <c r="B298" s="224">
        <f t="shared" si="49"/>
      </c>
      <c r="C298" s="224">
        <f t="shared" si="50"/>
      </c>
      <c r="D298" s="235">
        <f t="shared" si="43"/>
      </c>
      <c r="E298" s="224">
        <f t="shared" si="44"/>
      </c>
      <c r="F298" s="224">
        <f t="shared" si="51"/>
      </c>
      <c r="G298" s="224">
        <f t="shared" si="52"/>
      </c>
      <c r="H298" s="224">
        <f t="shared" si="53"/>
      </c>
      <c r="I298" s="224">
        <f t="shared" si="45"/>
      </c>
      <c r="J298" s="227">
        <v>0</v>
      </c>
      <c r="K298" s="252"/>
      <c r="L298" s="253">
        <f t="shared" si="46"/>
      </c>
      <c r="M298" s="239">
        <f t="shared" si="47"/>
      </c>
      <c r="N298" s="254"/>
    </row>
    <row r="299" spans="1:14" ht="12.75" hidden="1">
      <c r="A299" s="223">
        <f t="shared" si="48"/>
      </c>
      <c r="B299" s="224">
        <f t="shared" si="49"/>
      </c>
      <c r="C299" s="224">
        <f t="shared" si="50"/>
      </c>
      <c r="D299" s="235">
        <f t="shared" si="43"/>
      </c>
      <c r="E299" s="224">
        <f t="shared" si="44"/>
      </c>
      <c r="F299" s="224">
        <f t="shared" si="51"/>
      </c>
      <c r="G299" s="224">
        <f t="shared" si="52"/>
      </c>
      <c r="H299" s="224">
        <f t="shared" si="53"/>
      </c>
      <c r="I299" s="224">
        <f t="shared" si="45"/>
      </c>
      <c r="J299" s="227">
        <v>0</v>
      </c>
      <c r="K299" s="252"/>
      <c r="L299" s="253">
        <f t="shared" si="46"/>
      </c>
      <c r="M299" s="239">
        <f t="shared" si="47"/>
      </c>
      <c r="N299" s="254"/>
    </row>
    <row r="300" spans="1:14" ht="12.75" hidden="1">
      <c r="A300" s="223">
        <f t="shared" si="48"/>
      </c>
      <c r="B300" s="224">
        <f t="shared" si="49"/>
      </c>
      <c r="C300" s="224">
        <f t="shared" si="50"/>
      </c>
      <c r="D300" s="235">
        <f t="shared" si="43"/>
      </c>
      <c r="E300" s="224">
        <f t="shared" si="44"/>
      </c>
      <c r="F300" s="224">
        <f t="shared" si="51"/>
      </c>
      <c r="G300" s="224">
        <f t="shared" si="52"/>
      </c>
      <c r="H300" s="224">
        <f t="shared" si="53"/>
      </c>
      <c r="I300" s="224">
        <f t="shared" si="45"/>
      </c>
      <c r="J300" s="227">
        <v>0</v>
      </c>
      <c r="K300" s="252"/>
      <c r="L300" s="253">
        <f t="shared" si="46"/>
      </c>
      <c r="M300" s="239">
        <f t="shared" si="47"/>
      </c>
      <c r="N300" s="254"/>
    </row>
    <row r="301" spans="1:14" ht="12.75" hidden="1">
      <c r="A301" s="223">
        <f t="shared" si="48"/>
      </c>
      <c r="B301" s="224">
        <f t="shared" si="49"/>
      </c>
      <c r="C301" s="224">
        <f t="shared" si="50"/>
      </c>
      <c r="D301" s="235">
        <f t="shared" si="43"/>
      </c>
      <c r="E301" s="224">
        <f t="shared" si="44"/>
      </c>
      <c r="F301" s="224">
        <f t="shared" si="51"/>
      </c>
      <c r="G301" s="224">
        <f t="shared" si="52"/>
      </c>
      <c r="H301" s="224">
        <f t="shared" si="53"/>
      </c>
      <c r="I301" s="224">
        <f t="shared" si="45"/>
      </c>
      <c r="J301" s="227">
        <v>0</v>
      </c>
      <c r="K301" s="252"/>
      <c r="L301" s="253">
        <f t="shared" si="46"/>
      </c>
      <c r="M301" s="239">
        <f t="shared" si="47"/>
      </c>
      <c r="N301" s="254"/>
    </row>
    <row r="302" spans="1:14" ht="12.75" hidden="1">
      <c r="A302" s="223">
        <f t="shared" si="48"/>
      </c>
      <c r="B302" s="224">
        <f t="shared" si="49"/>
      </c>
      <c r="C302" s="224">
        <f t="shared" si="50"/>
      </c>
      <c r="D302" s="235">
        <f t="shared" si="43"/>
      </c>
      <c r="E302" s="224">
        <f t="shared" si="44"/>
      </c>
      <c r="F302" s="224">
        <f t="shared" si="51"/>
      </c>
      <c r="G302" s="224">
        <f t="shared" si="52"/>
      </c>
      <c r="H302" s="224">
        <f t="shared" si="53"/>
      </c>
      <c r="I302" s="224">
        <f t="shared" si="45"/>
      </c>
      <c r="J302" s="227">
        <v>0</v>
      </c>
      <c r="K302" s="252"/>
      <c r="L302" s="253">
        <f t="shared" si="46"/>
      </c>
      <c r="M302" s="239">
        <f t="shared" si="47"/>
      </c>
      <c r="N302" s="254"/>
    </row>
    <row r="303" spans="1:14" ht="12.75" hidden="1">
      <c r="A303" s="223">
        <f t="shared" si="48"/>
      </c>
      <c r="B303" s="224">
        <f t="shared" si="49"/>
      </c>
      <c r="C303" s="224">
        <f t="shared" si="50"/>
      </c>
      <c r="D303" s="235">
        <f t="shared" si="43"/>
      </c>
      <c r="E303" s="224">
        <f t="shared" si="44"/>
      </c>
      <c r="F303" s="224">
        <f t="shared" si="51"/>
      </c>
      <c r="G303" s="224">
        <f t="shared" si="52"/>
      </c>
      <c r="H303" s="224">
        <f t="shared" si="53"/>
      </c>
      <c r="I303" s="224">
        <f t="shared" si="45"/>
      </c>
      <c r="J303" s="227">
        <v>0</v>
      </c>
      <c r="K303" s="252"/>
      <c r="L303" s="253">
        <f t="shared" si="46"/>
      </c>
      <c r="M303" s="239">
        <f t="shared" si="47"/>
      </c>
      <c r="N303" s="254"/>
    </row>
    <row r="304" spans="1:14" ht="12.75" hidden="1">
      <c r="A304" s="223">
        <f t="shared" si="48"/>
      </c>
      <c r="B304" s="224">
        <f t="shared" si="49"/>
      </c>
      <c r="C304" s="224">
        <f t="shared" si="50"/>
      </c>
      <c r="D304" s="235">
        <f t="shared" si="43"/>
      </c>
      <c r="E304" s="224">
        <f t="shared" si="44"/>
      </c>
      <c r="F304" s="224">
        <f t="shared" si="51"/>
      </c>
      <c r="G304" s="224">
        <f t="shared" si="52"/>
      </c>
      <c r="H304" s="224">
        <f t="shared" si="53"/>
      </c>
      <c r="I304" s="224">
        <f t="shared" si="45"/>
      </c>
      <c r="J304" s="227">
        <v>0</v>
      </c>
      <c r="K304" s="252"/>
      <c r="L304" s="253">
        <f t="shared" si="46"/>
      </c>
      <c r="M304" s="239">
        <f t="shared" si="47"/>
      </c>
      <c r="N304" s="254"/>
    </row>
    <row r="305" spans="1:14" ht="12.75" hidden="1">
      <c r="A305" s="223">
        <f t="shared" si="48"/>
      </c>
      <c r="B305" s="224">
        <f t="shared" si="49"/>
      </c>
      <c r="C305" s="224">
        <f t="shared" si="50"/>
      </c>
      <c r="D305" s="235">
        <f t="shared" si="43"/>
      </c>
      <c r="E305" s="224">
        <f t="shared" si="44"/>
      </c>
      <c r="F305" s="224">
        <f t="shared" si="51"/>
      </c>
      <c r="G305" s="224">
        <f t="shared" si="52"/>
      </c>
      <c r="H305" s="224">
        <f t="shared" si="53"/>
      </c>
      <c r="I305" s="224">
        <f t="shared" si="45"/>
      </c>
      <c r="J305" s="227">
        <v>0</v>
      </c>
      <c r="K305" s="252"/>
      <c r="L305" s="253">
        <f t="shared" si="46"/>
      </c>
      <c r="M305" s="239">
        <f t="shared" si="47"/>
      </c>
      <c r="N305" s="254"/>
    </row>
    <row r="306" spans="1:14" ht="12.75" hidden="1">
      <c r="A306" s="223">
        <f t="shared" si="48"/>
      </c>
      <c r="B306" s="224">
        <f t="shared" si="49"/>
      </c>
      <c r="C306" s="224">
        <f t="shared" si="50"/>
      </c>
      <c r="D306" s="235">
        <f t="shared" si="43"/>
      </c>
      <c r="E306" s="224">
        <f t="shared" si="44"/>
      </c>
      <c r="F306" s="224">
        <f t="shared" si="51"/>
      </c>
      <c r="G306" s="224">
        <f t="shared" si="52"/>
      </c>
      <c r="H306" s="224">
        <f t="shared" si="53"/>
      </c>
      <c r="I306" s="224">
        <f t="shared" si="45"/>
      </c>
      <c r="J306" s="227">
        <v>0</v>
      </c>
      <c r="K306" s="252"/>
      <c r="L306" s="253">
        <f t="shared" si="46"/>
      </c>
      <c r="M306" s="239">
        <f t="shared" si="47"/>
      </c>
      <c r="N306" s="254"/>
    </row>
    <row r="307" spans="1:14" ht="12.75" hidden="1">
      <c r="A307" s="223">
        <f t="shared" si="48"/>
      </c>
      <c r="B307" s="224">
        <f t="shared" si="49"/>
      </c>
      <c r="C307" s="224">
        <f t="shared" si="50"/>
      </c>
      <c r="D307" s="235">
        <f t="shared" si="43"/>
      </c>
      <c r="E307" s="224">
        <f t="shared" si="44"/>
      </c>
      <c r="F307" s="224">
        <f t="shared" si="51"/>
      </c>
      <c r="G307" s="224">
        <f t="shared" si="52"/>
      </c>
      <c r="H307" s="224">
        <f t="shared" si="53"/>
      </c>
      <c r="I307" s="224">
        <f t="shared" si="45"/>
      </c>
      <c r="J307" s="227">
        <v>0</v>
      </c>
      <c r="K307" s="252"/>
      <c r="L307" s="253">
        <f t="shared" si="46"/>
      </c>
      <c r="M307" s="239">
        <f t="shared" si="47"/>
      </c>
      <c r="N307" s="254"/>
    </row>
    <row r="308" spans="1:14" ht="12.75" hidden="1">
      <c r="A308" s="223">
        <f t="shared" si="48"/>
      </c>
      <c r="B308" s="224">
        <f t="shared" si="49"/>
      </c>
      <c r="C308" s="224">
        <f t="shared" si="50"/>
      </c>
      <c r="D308" s="235">
        <f t="shared" si="43"/>
      </c>
      <c r="E308" s="224">
        <f t="shared" si="44"/>
      </c>
      <c r="F308" s="224">
        <f t="shared" si="51"/>
      </c>
      <c r="G308" s="224">
        <f t="shared" si="52"/>
      </c>
      <c r="H308" s="224">
        <f t="shared" si="53"/>
      </c>
      <c r="I308" s="224">
        <f t="shared" si="45"/>
      </c>
      <c r="J308" s="227">
        <v>0</v>
      </c>
      <c r="K308" s="252"/>
      <c r="L308" s="253">
        <f t="shared" si="46"/>
      </c>
      <c r="M308" s="239">
        <f t="shared" si="47"/>
      </c>
      <c r="N308" s="254"/>
    </row>
    <row r="309" spans="1:14" ht="12.75" hidden="1">
      <c r="A309" s="223">
        <f t="shared" si="48"/>
      </c>
      <c r="B309" s="224">
        <f t="shared" si="49"/>
      </c>
      <c r="C309" s="224">
        <f t="shared" si="50"/>
      </c>
      <c r="D309" s="235">
        <f t="shared" si="43"/>
      </c>
      <c r="E309" s="224">
        <f t="shared" si="44"/>
      </c>
      <c r="F309" s="224">
        <f t="shared" si="51"/>
      </c>
      <c r="G309" s="224">
        <f t="shared" si="52"/>
      </c>
      <c r="H309" s="224">
        <f t="shared" si="53"/>
      </c>
      <c r="I309" s="224">
        <f t="shared" si="45"/>
      </c>
      <c r="J309" s="227">
        <v>0</v>
      </c>
      <c r="K309" s="252"/>
      <c r="L309" s="253">
        <f t="shared" si="46"/>
      </c>
      <c r="M309" s="239">
        <f t="shared" si="47"/>
      </c>
      <c r="N309" s="254"/>
    </row>
    <row r="310" spans="1:14" ht="12.75" hidden="1">
      <c r="A310" s="223">
        <f t="shared" si="48"/>
      </c>
      <c r="B310" s="224">
        <f t="shared" si="49"/>
      </c>
      <c r="C310" s="224">
        <f t="shared" si="50"/>
      </c>
      <c r="D310" s="235">
        <f t="shared" si="43"/>
      </c>
      <c r="E310" s="224">
        <f t="shared" si="44"/>
      </c>
      <c r="F310" s="224">
        <f t="shared" si="51"/>
      </c>
      <c r="G310" s="224">
        <f t="shared" si="52"/>
      </c>
      <c r="H310" s="224">
        <f t="shared" si="53"/>
      </c>
      <c r="I310" s="224">
        <f t="shared" si="45"/>
      </c>
      <c r="J310" s="227">
        <v>0</v>
      </c>
      <c r="K310" s="252"/>
      <c r="L310" s="253">
        <f t="shared" si="46"/>
      </c>
      <c r="M310" s="239">
        <f t="shared" si="47"/>
      </c>
      <c r="N310" s="254"/>
    </row>
    <row r="311" spans="1:14" ht="12.75" hidden="1">
      <c r="A311" s="223">
        <f t="shared" si="48"/>
      </c>
      <c r="B311" s="224">
        <f t="shared" si="49"/>
      </c>
      <c r="C311" s="224">
        <f t="shared" si="50"/>
      </c>
      <c r="D311" s="235">
        <f t="shared" si="43"/>
      </c>
      <c r="E311" s="224">
        <f t="shared" si="44"/>
      </c>
      <c r="F311" s="224">
        <f t="shared" si="51"/>
      </c>
      <c r="G311" s="224">
        <f t="shared" si="52"/>
      </c>
      <c r="H311" s="224">
        <f t="shared" si="53"/>
      </c>
      <c r="I311" s="224">
        <f t="shared" si="45"/>
      </c>
      <c r="J311" s="227">
        <v>0</v>
      </c>
      <c r="K311" s="252"/>
      <c r="L311" s="253">
        <f t="shared" si="46"/>
      </c>
      <c r="M311" s="239">
        <f t="shared" si="47"/>
      </c>
      <c r="N311" s="254"/>
    </row>
    <row r="312" spans="1:14" ht="12.75" hidden="1">
      <c r="A312" s="223">
        <f t="shared" si="48"/>
      </c>
      <c r="B312" s="224">
        <f t="shared" si="49"/>
      </c>
      <c r="C312" s="224">
        <f t="shared" si="50"/>
      </c>
      <c r="D312" s="235">
        <f t="shared" si="43"/>
      </c>
      <c r="E312" s="224">
        <f t="shared" si="44"/>
      </c>
      <c r="F312" s="224">
        <f t="shared" si="51"/>
      </c>
      <c r="G312" s="224">
        <f t="shared" si="52"/>
      </c>
      <c r="H312" s="224">
        <f t="shared" si="53"/>
      </c>
      <c r="I312" s="224">
        <f t="shared" si="45"/>
      </c>
      <c r="J312" s="227">
        <v>0</v>
      </c>
      <c r="K312" s="252"/>
      <c r="L312" s="253">
        <f t="shared" si="46"/>
      </c>
      <c r="M312" s="239">
        <f t="shared" si="47"/>
      </c>
      <c r="N312" s="254"/>
    </row>
    <row r="313" spans="1:13" ht="12.75" hidden="1">
      <c r="A313" s="223">
        <f t="shared" si="48"/>
      </c>
      <c r="B313" s="224">
        <f t="shared" si="49"/>
      </c>
      <c r="C313" s="224">
        <f t="shared" si="50"/>
      </c>
      <c r="D313" s="235">
        <f aca="true" t="shared" si="57" ref="D313:D376">IF(A313="","",(B313*($C$17))/12)</f>
      </c>
      <c r="E313" s="224">
        <f aca="true" t="shared" si="58" ref="E313:E376">IF(B313&lt;(IF(A313="","",IF($J$52=2,$G$12,PMT($C$17/12,$C$18-A312,-B313,0,0)))),B313+D313,IF(A313="","",IF($J$52=2,$G$12,PMT($C$17/12,$C$18-A312,-B313,0,0))))</f>
      </c>
      <c r="F313" s="224">
        <f t="shared" si="51"/>
      </c>
      <c r="G313" s="224">
        <f t="shared" si="52"/>
      </c>
      <c r="H313" s="224">
        <f t="shared" si="53"/>
      </c>
      <c r="I313" s="224">
        <f aca="true" t="shared" si="59" ref="I313:I376">IF(A313="","",E313+F313+G313+H313)</f>
      </c>
      <c r="J313" s="227">
        <v>0</v>
      </c>
      <c r="K313" s="252"/>
      <c r="L313" s="253">
        <f aca="true" t="shared" si="60" ref="L313:L376">IF(A313="","",B313-C313-J313-K313)</f>
      </c>
      <c r="M313" s="239">
        <f aca="true" t="shared" si="61" ref="M313:M376">IF(A313="","",G313+F313)</f>
      </c>
    </row>
    <row r="314" spans="1:13" ht="12.75" hidden="1">
      <c r="A314" s="223">
        <f aca="true" t="shared" si="62" ref="A314:A377">IF(A313="","",IF((B313-C313)&lt;0.01,"",A313+1))</f>
      </c>
      <c r="B314" s="224">
        <f aca="true" t="shared" si="63" ref="B314:B377">IF(A314="","",(B313-C313-J313-K313))</f>
      </c>
      <c r="C314" s="224">
        <f aca="true" t="shared" si="64" ref="C314:C377">IF(A314="","",E314-D314)</f>
      </c>
      <c r="D314" s="235">
        <f t="shared" si="57"/>
      </c>
      <c r="E314" s="224">
        <f t="shared" si="58"/>
      </c>
      <c r="F314" s="224">
        <f aca="true" t="shared" si="65" ref="F314:F377">IF(A314="","",F313)</f>
      </c>
      <c r="G314" s="224">
        <f aca="true" t="shared" si="66" ref="G314:G377">IF(A314="","",G313)</f>
      </c>
      <c r="H314" s="224">
        <f aca="true" t="shared" si="67" ref="H314:H377">IF(A314="","",H313)</f>
      </c>
      <c r="I314" s="224">
        <f t="shared" si="59"/>
      </c>
      <c r="J314" s="227">
        <v>0</v>
      </c>
      <c r="K314" s="252"/>
      <c r="L314" s="253">
        <f t="shared" si="60"/>
      </c>
      <c r="M314" s="239">
        <f t="shared" si="61"/>
      </c>
    </row>
    <row r="315" spans="1:13" ht="12.75" hidden="1">
      <c r="A315" s="223">
        <f t="shared" si="62"/>
      </c>
      <c r="B315" s="224">
        <f t="shared" si="63"/>
      </c>
      <c r="C315" s="224">
        <f t="shared" si="64"/>
      </c>
      <c r="D315" s="235">
        <f t="shared" si="57"/>
      </c>
      <c r="E315" s="224">
        <f t="shared" si="58"/>
      </c>
      <c r="F315" s="224">
        <f t="shared" si="65"/>
      </c>
      <c r="G315" s="224">
        <f t="shared" si="66"/>
      </c>
      <c r="H315" s="224">
        <f t="shared" si="67"/>
      </c>
      <c r="I315" s="224">
        <f t="shared" si="59"/>
      </c>
      <c r="J315" s="227">
        <v>0</v>
      </c>
      <c r="K315" s="252"/>
      <c r="L315" s="253">
        <f t="shared" si="60"/>
      </c>
      <c r="M315" s="239">
        <f t="shared" si="61"/>
      </c>
    </row>
    <row r="316" spans="1:13" ht="12.75" hidden="1">
      <c r="A316" s="223">
        <f t="shared" si="62"/>
      </c>
      <c r="B316" s="224">
        <f t="shared" si="63"/>
      </c>
      <c r="C316" s="224">
        <f t="shared" si="64"/>
      </c>
      <c r="D316" s="235">
        <f t="shared" si="57"/>
      </c>
      <c r="E316" s="224">
        <f t="shared" si="58"/>
      </c>
      <c r="F316" s="224">
        <f t="shared" si="65"/>
      </c>
      <c r="G316" s="224">
        <f t="shared" si="66"/>
      </c>
      <c r="H316" s="224">
        <f t="shared" si="67"/>
      </c>
      <c r="I316" s="224">
        <f t="shared" si="59"/>
      </c>
      <c r="J316" s="227">
        <v>0</v>
      </c>
      <c r="K316" s="252"/>
      <c r="L316" s="253">
        <f t="shared" si="60"/>
      </c>
      <c r="M316" s="239">
        <f t="shared" si="61"/>
      </c>
    </row>
    <row r="317" spans="1:13" ht="12.75" hidden="1">
      <c r="A317" s="223">
        <f t="shared" si="62"/>
      </c>
      <c r="B317" s="224">
        <f t="shared" si="63"/>
      </c>
      <c r="C317" s="224">
        <f t="shared" si="64"/>
      </c>
      <c r="D317" s="235">
        <f t="shared" si="57"/>
      </c>
      <c r="E317" s="224">
        <f t="shared" si="58"/>
      </c>
      <c r="F317" s="224">
        <f t="shared" si="65"/>
      </c>
      <c r="G317" s="224">
        <f t="shared" si="66"/>
      </c>
      <c r="H317" s="224">
        <f t="shared" si="67"/>
      </c>
      <c r="I317" s="224">
        <f t="shared" si="59"/>
      </c>
      <c r="J317" s="227">
        <v>0</v>
      </c>
      <c r="K317" s="252"/>
      <c r="L317" s="253">
        <f t="shared" si="60"/>
      </c>
      <c r="M317" s="239">
        <f t="shared" si="61"/>
      </c>
    </row>
    <row r="318" spans="1:13" ht="12.75" hidden="1">
      <c r="A318" s="223">
        <f t="shared" si="62"/>
      </c>
      <c r="B318" s="224">
        <f t="shared" si="63"/>
      </c>
      <c r="C318" s="224">
        <f t="shared" si="64"/>
      </c>
      <c r="D318" s="235">
        <f t="shared" si="57"/>
      </c>
      <c r="E318" s="224">
        <f t="shared" si="58"/>
      </c>
      <c r="F318" s="224">
        <f t="shared" si="65"/>
      </c>
      <c r="G318" s="224">
        <f t="shared" si="66"/>
      </c>
      <c r="H318" s="224">
        <f t="shared" si="67"/>
      </c>
      <c r="I318" s="224">
        <f t="shared" si="59"/>
      </c>
      <c r="J318" s="227">
        <v>0</v>
      </c>
      <c r="K318" s="252"/>
      <c r="L318" s="253">
        <f t="shared" si="60"/>
      </c>
      <c r="M318" s="239">
        <f t="shared" si="61"/>
      </c>
    </row>
    <row r="319" spans="1:13" ht="12.75" hidden="1">
      <c r="A319" s="223">
        <f t="shared" si="62"/>
      </c>
      <c r="B319" s="224">
        <f t="shared" si="63"/>
      </c>
      <c r="C319" s="224">
        <f t="shared" si="64"/>
      </c>
      <c r="D319" s="235">
        <f t="shared" si="57"/>
      </c>
      <c r="E319" s="224">
        <f t="shared" si="58"/>
      </c>
      <c r="F319" s="224">
        <f t="shared" si="65"/>
      </c>
      <c r="G319" s="224">
        <f t="shared" si="66"/>
      </c>
      <c r="H319" s="224">
        <f t="shared" si="67"/>
      </c>
      <c r="I319" s="224">
        <f t="shared" si="59"/>
      </c>
      <c r="J319" s="227">
        <v>0</v>
      </c>
      <c r="K319" s="252"/>
      <c r="L319" s="253">
        <f t="shared" si="60"/>
      </c>
      <c r="M319" s="239">
        <f t="shared" si="61"/>
      </c>
    </row>
    <row r="320" spans="1:13" ht="12.75" hidden="1">
      <c r="A320" s="223">
        <f t="shared" si="62"/>
      </c>
      <c r="B320" s="224">
        <f t="shared" si="63"/>
      </c>
      <c r="C320" s="224">
        <f t="shared" si="64"/>
      </c>
      <c r="D320" s="235">
        <f t="shared" si="57"/>
      </c>
      <c r="E320" s="224">
        <f t="shared" si="58"/>
      </c>
      <c r="F320" s="224">
        <f t="shared" si="65"/>
      </c>
      <c r="G320" s="224">
        <f t="shared" si="66"/>
      </c>
      <c r="H320" s="224">
        <f t="shared" si="67"/>
      </c>
      <c r="I320" s="224">
        <f t="shared" si="59"/>
      </c>
      <c r="J320" s="227">
        <v>0</v>
      </c>
      <c r="K320" s="252"/>
      <c r="L320" s="253">
        <f t="shared" si="60"/>
      </c>
      <c r="M320" s="239">
        <f t="shared" si="61"/>
      </c>
    </row>
    <row r="321" spans="1:13" ht="12.75" hidden="1">
      <c r="A321" s="223">
        <f t="shared" si="62"/>
      </c>
      <c r="B321" s="224">
        <f t="shared" si="63"/>
      </c>
      <c r="C321" s="224">
        <f t="shared" si="64"/>
      </c>
      <c r="D321" s="235">
        <f t="shared" si="57"/>
      </c>
      <c r="E321" s="224">
        <f t="shared" si="58"/>
      </c>
      <c r="F321" s="224">
        <f t="shared" si="65"/>
      </c>
      <c r="G321" s="224">
        <f t="shared" si="66"/>
      </c>
      <c r="H321" s="224">
        <f t="shared" si="67"/>
      </c>
      <c r="I321" s="224">
        <f t="shared" si="59"/>
      </c>
      <c r="J321" s="227">
        <v>0</v>
      </c>
      <c r="K321" s="252"/>
      <c r="L321" s="253">
        <f t="shared" si="60"/>
      </c>
      <c r="M321" s="239">
        <f t="shared" si="61"/>
      </c>
    </row>
    <row r="322" spans="1:13" ht="12.75" hidden="1">
      <c r="A322" s="223">
        <f t="shared" si="62"/>
      </c>
      <c r="B322" s="224">
        <f t="shared" si="63"/>
      </c>
      <c r="C322" s="224">
        <f t="shared" si="64"/>
      </c>
      <c r="D322" s="235">
        <f t="shared" si="57"/>
      </c>
      <c r="E322" s="224">
        <f t="shared" si="58"/>
      </c>
      <c r="F322" s="224">
        <f t="shared" si="65"/>
      </c>
      <c r="G322" s="224">
        <f t="shared" si="66"/>
      </c>
      <c r="H322" s="224">
        <f t="shared" si="67"/>
      </c>
      <c r="I322" s="224">
        <f t="shared" si="59"/>
      </c>
      <c r="J322" s="227">
        <v>0</v>
      </c>
      <c r="K322" s="252"/>
      <c r="L322" s="253">
        <f t="shared" si="60"/>
      </c>
      <c r="M322" s="239">
        <f t="shared" si="61"/>
      </c>
    </row>
    <row r="323" spans="1:13" ht="12.75" hidden="1">
      <c r="A323" s="223">
        <f t="shared" si="62"/>
      </c>
      <c r="B323" s="224">
        <f t="shared" si="63"/>
      </c>
      <c r="C323" s="224">
        <f t="shared" si="64"/>
      </c>
      <c r="D323" s="235">
        <f t="shared" si="57"/>
      </c>
      <c r="E323" s="224">
        <f t="shared" si="58"/>
      </c>
      <c r="F323" s="224">
        <f t="shared" si="65"/>
      </c>
      <c r="G323" s="224">
        <f t="shared" si="66"/>
      </c>
      <c r="H323" s="224">
        <f t="shared" si="67"/>
      </c>
      <c r="I323" s="224">
        <f t="shared" si="59"/>
      </c>
      <c r="J323" s="227">
        <v>0</v>
      </c>
      <c r="K323" s="252"/>
      <c r="L323" s="253">
        <f t="shared" si="60"/>
      </c>
      <c r="M323" s="239">
        <f t="shared" si="61"/>
      </c>
    </row>
    <row r="324" spans="1:13" ht="12.75" hidden="1">
      <c r="A324" s="223">
        <f t="shared" si="62"/>
      </c>
      <c r="B324" s="224">
        <f t="shared" si="63"/>
      </c>
      <c r="C324" s="224">
        <f t="shared" si="64"/>
      </c>
      <c r="D324" s="235">
        <f t="shared" si="57"/>
      </c>
      <c r="E324" s="224">
        <f t="shared" si="58"/>
      </c>
      <c r="F324" s="224">
        <f t="shared" si="65"/>
      </c>
      <c r="G324" s="224">
        <f t="shared" si="66"/>
      </c>
      <c r="H324" s="224">
        <f t="shared" si="67"/>
      </c>
      <c r="I324" s="224">
        <f t="shared" si="59"/>
      </c>
      <c r="J324" s="227">
        <v>0</v>
      </c>
      <c r="K324" s="252"/>
      <c r="L324" s="253">
        <f t="shared" si="60"/>
      </c>
      <c r="M324" s="239">
        <f t="shared" si="61"/>
      </c>
    </row>
    <row r="325" spans="1:13" ht="12.75" hidden="1">
      <c r="A325" s="223">
        <f t="shared" si="62"/>
      </c>
      <c r="B325" s="224">
        <f t="shared" si="63"/>
      </c>
      <c r="C325" s="224">
        <f t="shared" si="64"/>
      </c>
      <c r="D325" s="235">
        <f t="shared" si="57"/>
      </c>
      <c r="E325" s="224">
        <f t="shared" si="58"/>
      </c>
      <c r="F325" s="224">
        <f t="shared" si="65"/>
      </c>
      <c r="G325" s="224">
        <f t="shared" si="66"/>
      </c>
      <c r="H325" s="224">
        <f t="shared" si="67"/>
      </c>
      <c r="I325" s="224">
        <f t="shared" si="59"/>
      </c>
      <c r="J325" s="227">
        <v>0</v>
      </c>
      <c r="K325" s="252"/>
      <c r="L325" s="253">
        <f t="shared" si="60"/>
      </c>
      <c r="M325" s="239">
        <f t="shared" si="61"/>
      </c>
    </row>
    <row r="326" spans="1:13" ht="12.75" hidden="1">
      <c r="A326" s="223">
        <f t="shared" si="62"/>
      </c>
      <c r="B326" s="224">
        <f t="shared" si="63"/>
      </c>
      <c r="C326" s="224">
        <f t="shared" si="64"/>
      </c>
      <c r="D326" s="235">
        <f t="shared" si="57"/>
      </c>
      <c r="E326" s="224">
        <f t="shared" si="58"/>
      </c>
      <c r="F326" s="224">
        <f t="shared" si="65"/>
      </c>
      <c r="G326" s="224">
        <f t="shared" si="66"/>
      </c>
      <c r="H326" s="224">
        <f t="shared" si="67"/>
      </c>
      <c r="I326" s="224">
        <f t="shared" si="59"/>
      </c>
      <c r="J326" s="227">
        <v>0</v>
      </c>
      <c r="K326" s="252"/>
      <c r="L326" s="253">
        <f t="shared" si="60"/>
      </c>
      <c r="M326" s="239">
        <f t="shared" si="61"/>
      </c>
    </row>
    <row r="327" spans="1:13" ht="12.75" hidden="1">
      <c r="A327" s="223">
        <f t="shared" si="62"/>
      </c>
      <c r="B327" s="224">
        <f t="shared" si="63"/>
      </c>
      <c r="C327" s="224">
        <f t="shared" si="64"/>
      </c>
      <c r="D327" s="235">
        <f t="shared" si="57"/>
      </c>
      <c r="E327" s="224">
        <f t="shared" si="58"/>
      </c>
      <c r="F327" s="224">
        <f t="shared" si="65"/>
      </c>
      <c r="G327" s="224">
        <f t="shared" si="66"/>
      </c>
      <c r="H327" s="224">
        <f t="shared" si="67"/>
      </c>
      <c r="I327" s="224">
        <f t="shared" si="59"/>
      </c>
      <c r="J327" s="227">
        <v>0</v>
      </c>
      <c r="K327" s="252"/>
      <c r="L327" s="253">
        <f t="shared" si="60"/>
      </c>
      <c r="M327" s="239">
        <f t="shared" si="61"/>
      </c>
    </row>
    <row r="328" spans="1:13" ht="12.75" hidden="1">
      <c r="A328" s="223">
        <f t="shared" si="62"/>
      </c>
      <c r="B328" s="224">
        <f t="shared" si="63"/>
      </c>
      <c r="C328" s="224">
        <f t="shared" si="64"/>
      </c>
      <c r="D328" s="235">
        <f t="shared" si="57"/>
      </c>
      <c r="E328" s="224">
        <f t="shared" si="58"/>
      </c>
      <c r="F328" s="224">
        <f t="shared" si="65"/>
      </c>
      <c r="G328" s="224">
        <f t="shared" si="66"/>
      </c>
      <c r="H328" s="224">
        <f t="shared" si="67"/>
      </c>
      <c r="I328" s="224">
        <f t="shared" si="59"/>
      </c>
      <c r="J328" s="227">
        <v>0</v>
      </c>
      <c r="K328" s="252"/>
      <c r="L328" s="253">
        <f t="shared" si="60"/>
      </c>
      <c r="M328" s="239">
        <f t="shared" si="61"/>
      </c>
    </row>
    <row r="329" spans="1:13" ht="12.75" hidden="1">
      <c r="A329" s="223">
        <f t="shared" si="62"/>
      </c>
      <c r="B329" s="224">
        <f t="shared" si="63"/>
      </c>
      <c r="C329" s="224">
        <f t="shared" si="64"/>
      </c>
      <c r="D329" s="235">
        <f t="shared" si="57"/>
      </c>
      <c r="E329" s="224">
        <f t="shared" si="58"/>
      </c>
      <c r="F329" s="224">
        <f t="shared" si="65"/>
      </c>
      <c r="G329" s="224">
        <f t="shared" si="66"/>
      </c>
      <c r="H329" s="224">
        <f t="shared" si="67"/>
      </c>
      <c r="I329" s="224">
        <f t="shared" si="59"/>
      </c>
      <c r="J329" s="227">
        <v>0</v>
      </c>
      <c r="K329" s="252"/>
      <c r="L329" s="253">
        <f t="shared" si="60"/>
      </c>
      <c r="M329" s="239">
        <f t="shared" si="61"/>
      </c>
    </row>
    <row r="330" spans="1:13" ht="12.75" hidden="1">
      <c r="A330" s="223">
        <f t="shared" si="62"/>
      </c>
      <c r="B330" s="224">
        <f t="shared" si="63"/>
      </c>
      <c r="C330" s="224">
        <f t="shared" si="64"/>
      </c>
      <c r="D330" s="235">
        <f t="shared" si="57"/>
      </c>
      <c r="E330" s="224">
        <f t="shared" si="58"/>
      </c>
      <c r="F330" s="224">
        <f t="shared" si="65"/>
      </c>
      <c r="G330" s="224">
        <f t="shared" si="66"/>
      </c>
      <c r="H330" s="224">
        <f t="shared" si="67"/>
      </c>
      <c r="I330" s="224">
        <f t="shared" si="59"/>
      </c>
      <c r="J330" s="227">
        <v>0</v>
      </c>
      <c r="K330" s="252"/>
      <c r="L330" s="253">
        <f t="shared" si="60"/>
      </c>
      <c r="M330" s="239">
        <f t="shared" si="61"/>
      </c>
    </row>
    <row r="331" spans="1:13" ht="12.75" hidden="1">
      <c r="A331" s="223">
        <f t="shared" si="62"/>
      </c>
      <c r="B331" s="224">
        <f t="shared" si="63"/>
      </c>
      <c r="C331" s="224">
        <f t="shared" si="64"/>
      </c>
      <c r="D331" s="235">
        <f t="shared" si="57"/>
      </c>
      <c r="E331" s="224">
        <f t="shared" si="58"/>
      </c>
      <c r="F331" s="224">
        <f t="shared" si="65"/>
      </c>
      <c r="G331" s="224">
        <f t="shared" si="66"/>
      </c>
      <c r="H331" s="224">
        <f t="shared" si="67"/>
      </c>
      <c r="I331" s="224">
        <f t="shared" si="59"/>
      </c>
      <c r="J331" s="227">
        <v>0</v>
      </c>
      <c r="K331" s="252"/>
      <c r="L331" s="253">
        <f t="shared" si="60"/>
      </c>
      <c r="M331" s="239">
        <f t="shared" si="61"/>
      </c>
    </row>
    <row r="332" spans="1:13" ht="12.75" hidden="1">
      <c r="A332" s="223">
        <f t="shared" si="62"/>
      </c>
      <c r="B332" s="224">
        <f t="shared" si="63"/>
      </c>
      <c r="C332" s="224">
        <f t="shared" si="64"/>
      </c>
      <c r="D332" s="235">
        <f t="shared" si="57"/>
      </c>
      <c r="E332" s="224">
        <f t="shared" si="58"/>
      </c>
      <c r="F332" s="224">
        <f t="shared" si="65"/>
      </c>
      <c r="G332" s="224">
        <f t="shared" si="66"/>
      </c>
      <c r="H332" s="224">
        <f t="shared" si="67"/>
      </c>
      <c r="I332" s="224">
        <f t="shared" si="59"/>
      </c>
      <c r="J332" s="227">
        <v>0</v>
      </c>
      <c r="K332" s="252"/>
      <c r="L332" s="253">
        <f t="shared" si="60"/>
      </c>
      <c r="M332" s="239">
        <f t="shared" si="61"/>
      </c>
    </row>
    <row r="333" spans="1:13" ht="12.75" hidden="1">
      <c r="A333" s="223">
        <f t="shared" si="62"/>
      </c>
      <c r="B333" s="224">
        <f t="shared" si="63"/>
      </c>
      <c r="C333" s="224">
        <f t="shared" si="64"/>
      </c>
      <c r="D333" s="235">
        <f t="shared" si="57"/>
      </c>
      <c r="E333" s="224">
        <f t="shared" si="58"/>
      </c>
      <c r="F333" s="224">
        <f t="shared" si="65"/>
      </c>
      <c r="G333" s="224">
        <f t="shared" si="66"/>
      </c>
      <c r="H333" s="224">
        <f t="shared" si="67"/>
      </c>
      <c r="I333" s="224">
        <f t="shared" si="59"/>
      </c>
      <c r="J333" s="227">
        <v>0</v>
      </c>
      <c r="K333" s="252"/>
      <c r="L333" s="253">
        <f t="shared" si="60"/>
      </c>
      <c r="M333" s="239">
        <f t="shared" si="61"/>
      </c>
    </row>
    <row r="334" spans="1:13" ht="12.75" hidden="1">
      <c r="A334" s="223">
        <f t="shared" si="62"/>
      </c>
      <c r="B334" s="224">
        <f t="shared" si="63"/>
      </c>
      <c r="C334" s="224">
        <f t="shared" si="64"/>
      </c>
      <c r="D334" s="235">
        <f t="shared" si="57"/>
      </c>
      <c r="E334" s="224">
        <f t="shared" si="58"/>
      </c>
      <c r="F334" s="224">
        <f t="shared" si="65"/>
      </c>
      <c r="G334" s="224">
        <f t="shared" si="66"/>
      </c>
      <c r="H334" s="224">
        <f t="shared" si="67"/>
      </c>
      <c r="I334" s="224">
        <f t="shared" si="59"/>
      </c>
      <c r="J334" s="227">
        <v>0</v>
      </c>
      <c r="K334" s="252"/>
      <c r="L334" s="253">
        <f t="shared" si="60"/>
      </c>
      <c r="M334" s="239">
        <f t="shared" si="61"/>
      </c>
    </row>
    <row r="335" spans="1:13" ht="12.75" hidden="1">
      <c r="A335" s="223">
        <f t="shared" si="62"/>
      </c>
      <c r="B335" s="224">
        <f t="shared" si="63"/>
      </c>
      <c r="C335" s="224">
        <f t="shared" si="64"/>
      </c>
      <c r="D335" s="235">
        <f t="shared" si="57"/>
      </c>
      <c r="E335" s="224">
        <f t="shared" si="58"/>
      </c>
      <c r="F335" s="224">
        <f t="shared" si="65"/>
      </c>
      <c r="G335" s="224">
        <f t="shared" si="66"/>
      </c>
      <c r="H335" s="224">
        <f t="shared" si="67"/>
      </c>
      <c r="I335" s="224">
        <f t="shared" si="59"/>
      </c>
      <c r="J335" s="227">
        <v>0</v>
      </c>
      <c r="K335" s="252"/>
      <c r="L335" s="253">
        <f t="shared" si="60"/>
      </c>
      <c r="M335" s="239">
        <f t="shared" si="61"/>
      </c>
    </row>
    <row r="336" spans="1:13" ht="12.75" hidden="1">
      <c r="A336" s="223">
        <f t="shared" si="62"/>
      </c>
      <c r="B336" s="224">
        <f t="shared" si="63"/>
      </c>
      <c r="C336" s="224">
        <f t="shared" si="64"/>
      </c>
      <c r="D336" s="235">
        <f t="shared" si="57"/>
      </c>
      <c r="E336" s="224">
        <f t="shared" si="58"/>
      </c>
      <c r="F336" s="224">
        <f t="shared" si="65"/>
      </c>
      <c r="G336" s="224">
        <f t="shared" si="66"/>
      </c>
      <c r="H336" s="224">
        <f t="shared" si="67"/>
      </c>
      <c r="I336" s="224">
        <f t="shared" si="59"/>
      </c>
      <c r="J336" s="227">
        <v>0</v>
      </c>
      <c r="K336" s="252"/>
      <c r="L336" s="253">
        <f t="shared" si="60"/>
      </c>
      <c r="M336" s="239">
        <f t="shared" si="61"/>
      </c>
    </row>
    <row r="337" spans="1:13" ht="12.75" hidden="1">
      <c r="A337" s="223">
        <f t="shared" si="62"/>
      </c>
      <c r="B337" s="224">
        <f t="shared" si="63"/>
      </c>
      <c r="C337" s="224">
        <f t="shared" si="64"/>
      </c>
      <c r="D337" s="235">
        <f t="shared" si="57"/>
      </c>
      <c r="E337" s="224">
        <f t="shared" si="58"/>
      </c>
      <c r="F337" s="224">
        <f t="shared" si="65"/>
      </c>
      <c r="G337" s="224">
        <f t="shared" si="66"/>
      </c>
      <c r="H337" s="224">
        <f t="shared" si="67"/>
      </c>
      <c r="I337" s="224">
        <f t="shared" si="59"/>
      </c>
      <c r="J337" s="227">
        <v>0</v>
      </c>
      <c r="K337" s="252"/>
      <c r="L337" s="253">
        <f t="shared" si="60"/>
      </c>
      <c r="M337" s="239">
        <f t="shared" si="61"/>
      </c>
    </row>
    <row r="338" spans="1:13" ht="12.75" hidden="1">
      <c r="A338" s="223">
        <f t="shared" si="62"/>
      </c>
      <c r="B338" s="224">
        <f t="shared" si="63"/>
      </c>
      <c r="C338" s="224">
        <f t="shared" si="64"/>
      </c>
      <c r="D338" s="235">
        <f t="shared" si="57"/>
      </c>
      <c r="E338" s="224">
        <f t="shared" si="58"/>
      </c>
      <c r="F338" s="224">
        <f t="shared" si="65"/>
      </c>
      <c r="G338" s="224">
        <f t="shared" si="66"/>
      </c>
      <c r="H338" s="224">
        <f t="shared" si="67"/>
      </c>
      <c r="I338" s="224">
        <f t="shared" si="59"/>
      </c>
      <c r="J338" s="227">
        <v>0</v>
      </c>
      <c r="K338" s="252"/>
      <c r="L338" s="253">
        <f t="shared" si="60"/>
      </c>
      <c r="M338" s="239">
        <f t="shared" si="61"/>
      </c>
    </row>
    <row r="339" spans="1:13" ht="12.75" hidden="1">
      <c r="A339" s="223">
        <f t="shared" si="62"/>
      </c>
      <c r="B339" s="224">
        <f t="shared" si="63"/>
      </c>
      <c r="C339" s="224">
        <f t="shared" si="64"/>
      </c>
      <c r="D339" s="235">
        <f t="shared" si="57"/>
      </c>
      <c r="E339" s="224">
        <f t="shared" si="58"/>
      </c>
      <c r="F339" s="224">
        <f t="shared" si="65"/>
      </c>
      <c r="G339" s="224">
        <f t="shared" si="66"/>
      </c>
      <c r="H339" s="224">
        <f t="shared" si="67"/>
      </c>
      <c r="I339" s="224">
        <f t="shared" si="59"/>
      </c>
      <c r="J339" s="227">
        <v>0</v>
      </c>
      <c r="K339" s="252"/>
      <c r="L339" s="253">
        <f t="shared" si="60"/>
      </c>
      <c r="M339" s="239">
        <f t="shared" si="61"/>
      </c>
    </row>
    <row r="340" spans="1:13" ht="12.75" hidden="1">
      <c r="A340" s="223">
        <f t="shared" si="62"/>
      </c>
      <c r="B340" s="224">
        <f t="shared" si="63"/>
      </c>
      <c r="C340" s="224">
        <f t="shared" si="64"/>
      </c>
      <c r="D340" s="235">
        <f t="shared" si="57"/>
      </c>
      <c r="E340" s="224">
        <f t="shared" si="58"/>
      </c>
      <c r="F340" s="224">
        <f t="shared" si="65"/>
      </c>
      <c r="G340" s="224">
        <f t="shared" si="66"/>
      </c>
      <c r="H340" s="224">
        <f t="shared" si="67"/>
      </c>
      <c r="I340" s="224">
        <f t="shared" si="59"/>
      </c>
      <c r="J340" s="227">
        <v>0</v>
      </c>
      <c r="K340" s="252"/>
      <c r="L340" s="253">
        <f t="shared" si="60"/>
      </c>
      <c r="M340" s="239">
        <f t="shared" si="61"/>
      </c>
    </row>
    <row r="341" spans="1:13" ht="12.75" hidden="1">
      <c r="A341" s="223">
        <f t="shared" si="62"/>
      </c>
      <c r="B341" s="224">
        <f t="shared" si="63"/>
      </c>
      <c r="C341" s="224">
        <f t="shared" si="64"/>
      </c>
      <c r="D341" s="235">
        <f t="shared" si="57"/>
      </c>
      <c r="E341" s="224">
        <f t="shared" si="58"/>
      </c>
      <c r="F341" s="224">
        <f t="shared" si="65"/>
      </c>
      <c r="G341" s="224">
        <f t="shared" si="66"/>
      </c>
      <c r="H341" s="224">
        <f t="shared" si="67"/>
      </c>
      <c r="I341" s="224">
        <f t="shared" si="59"/>
      </c>
      <c r="J341" s="227">
        <v>0</v>
      </c>
      <c r="K341" s="252"/>
      <c r="L341" s="253">
        <f t="shared" si="60"/>
      </c>
      <c r="M341" s="239">
        <f t="shared" si="61"/>
      </c>
    </row>
    <row r="342" spans="1:13" ht="12.75" hidden="1">
      <c r="A342" s="223">
        <f t="shared" si="62"/>
      </c>
      <c r="B342" s="224">
        <f t="shared" si="63"/>
      </c>
      <c r="C342" s="224">
        <f t="shared" si="64"/>
      </c>
      <c r="D342" s="235">
        <f t="shared" si="57"/>
      </c>
      <c r="E342" s="224">
        <f t="shared" si="58"/>
      </c>
      <c r="F342" s="224">
        <f t="shared" si="65"/>
      </c>
      <c r="G342" s="224">
        <f t="shared" si="66"/>
      </c>
      <c r="H342" s="224">
        <f t="shared" si="67"/>
      </c>
      <c r="I342" s="224">
        <f t="shared" si="59"/>
      </c>
      <c r="J342" s="227">
        <v>0</v>
      </c>
      <c r="K342" s="252"/>
      <c r="L342" s="253">
        <f t="shared" si="60"/>
      </c>
      <c r="M342" s="239">
        <f t="shared" si="61"/>
      </c>
    </row>
    <row r="343" spans="1:13" ht="12.75" hidden="1">
      <c r="A343" s="223">
        <f t="shared" si="62"/>
      </c>
      <c r="B343" s="224">
        <f t="shared" si="63"/>
      </c>
      <c r="C343" s="224">
        <f t="shared" si="64"/>
      </c>
      <c r="D343" s="235">
        <f t="shared" si="57"/>
      </c>
      <c r="E343" s="224">
        <f t="shared" si="58"/>
      </c>
      <c r="F343" s="224">
        <f t="shared" si="65"/>
      </c>
      <c r="G343" s="224">
        <f t="shared" si="66"/>
      </c>
      <c r="H343" s="224">
        <f t="shared" si="67"/>
      </c>
      <c r="I343" s="224">
        <f t="shared" si="59"/>
      </c>
      <c r="J343" s="227">
        <v>0</v>
      </c>
      <c r="K343" s="252"/>
      <c r="L343" s="253">
        <f t="shared" si="60"/>
      </c>
      <c r="M343" s="239">
        <f t="shared" si="61"/>
      </c>
    </row>
    <row r="344" spans="1:13" ht="12.75" hidden="1">
      <c r="A344" s="223">
        <f t="shared" si="62"/>
      </c>
      <c r="B344" s="224">
        <f t="shared" si="63"/>
      </c>
      <c r="C344" s="224">
        <f t="shared" si="64"/>
      </c>
      <c r="D344" s="235">
        <f t="shared" si="57"/>
      </c>
      <c r="E344" s="224">
        <f t="shared" si="58"/>
      </c>
      <c r="F344" s="224">
        <f t="shared" si="65"/>
      </c>
      <c r="G344" s="224">
        <f t="shared" si="66"/>
      </c>
      <c r="H344" s="224">
        <f t="shared" si="67"/>
      </c>
      <c r="I344" s="224">
        <f t="shared" si="59"/>
      </c>
      <c r="J344" s="227">
        <v>0</v>
      </c>
      <c r="K344" s="252"/>
      <c r="L344" s="253">
        <f t="shared" si="60"/>
      </c>
      <c r="M344" s="239">
        <f t="shared" si="61"/>
      </c>
    </row>
    <row r="345" spans="1:13" ht="12.75" hidden="1">
      <c r="A345" s="223">
        <f t="shared" si="62"/>
      </c>
      <c r="B345" s="224">
        <f t="shared" si="63"/>
      </c>
      <c r="C345" s="224">
        <f t="shared" si="64"/>
      </c>
      <c r="D345" s="235">
        <f t="shared" si="57"/>
      </c>
      <c r="E345" s="224">
        <f t="shared" si="58"/>
      </c>
      <c r="F345" s="224">
        <f t="shared" si="65"/>
      </c>
      <c r="G345" s="224">
        <f t="shared" si="66"/>
      </c>
      <c r="H345" s="224">
        <f t="shared" si="67"/>
      </c>
      <c r="I345" s="224">
        <f t="shared" si="59"/>
      </c>
      <c r="J345" s="227">
        <v>0</v>
      </c>
      <c r="K345" s="252"/>
      <c r="L345" s="253">
        <f t="shared" si="60"/>
      </c>
      <c r="M345" s="239">
        <f t="shared" si="61"/>
      </c>
    </row>
    <row r="346" spans="1:13" ht="12.75" hidden="1">
      <c r="A346" s="223">
        <f t="shared" si="62"/>
      </c>
      <c r="B346" s="224">
        <f t="shared" si="63"/>
      </c>
      <c r="C346" s="224">
        <f t="shared" si="64"/>
      </c>
      <c r="D346" s="235">
        <f t="shared" si="57"/>
      </c>
      <c r="E346" s="224">
        <f t="shared" si="58"/>
      </c>
      <c r="F346" s="224">
        <f t="shared" si="65"/>
      </c>
      <c r="G346" s="224">
        <f t="shared" si="66"/>
      </c>
      <c r="H346" s="224">
        <f t="shared" si="67"/>
      </c>
      <c r="I346" s="224">
        <f t="shared" si="59"/>
      </c>
      <c r="J346" s="227">
        <v>0</v>
      </c>
      <c r="K346" s="252"/>
      <c r="L346" s="253">
        <f t="shared" si="60"/>
      </c>
      <c r="M346" s="239">
        <f t="shared" si="61"/>
      </c>
    </row>
    <row r="347" spans="1:13" ht="12.75" hidden="1">
      <c r="A347" s="223">
        <f t="shared" si="62"/>
      </c>
      <c r="B347" s="224">
        <f t="shared" si="63"/>
      </c>
      <c r="C347" s="224">
        <f t="shared" si="64"/>
      </c>
      <c r="D347" s="235">
        <f t="shared" si="57"/>
      </c>
      <c r="E347" s="224">
        <f t="shared" si="58"/>
      </c>
      <c r="F347" s="224">
        <f t="shared" si="65"/>
      </c>
      <c r="G347" s="224">
        <f t="shared" si="66"/>
      </c>
      <c r="H347" s="224">
        <f t="shared" si="67"/>
      </c>
      <c r="I347" s="224">
        <f t="shared" si="59"/>
      </c>
      <c r="J347" s="227">
        <v>0</v>
      </c>
      <c r="K347" s="252"/>
      <c r="L347" s="253">
        <f t="shared" si="60"/>
      </c>
      <c r="M347" s="239">
        <f t="shared" si="61"/>
      </c>
    </row>
    <row r="348" spans="1:13" ht="12.75" hidden="1">
      <c r="A348" s="223">
        <f t="shared" si="62"/>
      </c>
      <c r="B348" s="224">
        <f t="shared" si="63"/>
      </c>
      <c r="C348" s="224">
        <f t="shared" si="64"/>
      </c>
      <c r="D348" s="235">
        <f t="shared" si="57"/>
      </c>
      <c r="E348" s="224">
        <f t="shared" si="58"/>
      </c>
      <c r="F348" s="224">
        <f t="shared" si="65"/>
      </c>
      <c r="G348" s="224">
        <f t="shared" si="66"/>
      </c>
      <c r="H348" s="224">
        <f t="shared" si="67"/>
      </c>
      <c r="I348" s="224">
        <f t="shared" si="59"/>
      </c>
      <c r="J348" s="227">
        <v>0</v>
      </c>
      <c r="K348" s="252"/>
      <c r="L348" s="253">
        <f t="shared" si="60"/>
      </c>
      <c r="M348" s="239">
        <f t="shared" si="61"/>
      </c>
    </row>
    <row r="349" spans="1:13" ht="12.75" hidden="1">
      <c r="A349" s="223">
        <f t="shared" si="62"/>
      </c>
      <c r="B349" s="224">
        <f t="shared" si="63"/>
      </c>
      <c r="C349" s="224">
        <f t="shared" si="64"/>
      </c>
      <c r="D349" s="235">
        <f t="shared" si="57"/>
      </c>
      <c r="E349" s="224">
        <f t="shared" si="58"/>
      </c>
      <c r="F349" s="224">
        <f t="shared" si="65"/>
      </c>
      <c r="G349" s="224">
        <f t="shared" si="66"/>
      </c>
      <c r="H349" s="224">
        <f t="shared" si="67"/>
      </c>
      <c r="I349" s="224">
        <f t="shared" si="59"/>
      </c>
      <c r="J349" s="227">
        <v>0</v>
      </c>
      <c r="K349" s="252"/>
      <c r="L349" s="253">
        <f t="shared" si="60"/>
      </c>
      <c r="M349" s="239">
        <f t="shared" si="61"/>
      </c>
    </row>
    <row r="350" spans="1:13" ht="12.75" hidden="1">
      <c r="A350" s="223">
        <f t="shared" si="62"/>
      </c>
      <c r="B350" s="224">
        <f t="shared" si="63"/>
      </c>
      <c r="C350" s="224">
        <f t="shared" si="64"/>
      </c>
      <c r="D350" s="235">
        <f t="shared" si="57"/>
      </c>
      <c r="E350" s="224">
        <f t="shared" si="58"/>
      </c>
      <c r="F350" s="224">
        <f t="shared" si="65"/>
      </c>
      <c r="G350" s="224">
        <f t="shared" si="66"/>
      </c>
      <c r="H350" s="224">
        <f t="shared" si="67"/>
      </c>
      <c r="I350" s="224">
        <f t="shared" si="59"/>
      </c>
      <c r="J350" s="227">
        <v>0</v>
      </c>
      <c r="K350" s="252"/>
      <c r="L350" s="253">
        <f t="shared" si="60"/>
      </c>
      <c r="M350" s="239">
        <f t="shared" si="61"/>
      </c>
    </row>
    <row r="351" spans="1:13" ht="12.75" hidden="1">
      <c r="A351" s="223">
        <f t="shared" si="62"/>
      </c>
      <c r="B351" s="224">
        <f t="shared" si="63"/>
      </c>
      <c r="C351" s="224">
        <f t="shared" si="64"/>
      </c>
      <c r="D351" s="235">
        <f t="shared" si="57"/>
      </c>
      <c r="E351" s="224">
        <f t="shared" si="58"/>
      </c>
      <c r="F351" s="224">
        <f t="shared" si="65"/>
      </c>
      <c r="G351" s="224">
        <f t="shared" si="66"/>
      </c>
      <c r="H351" s="224">
        <f t="shared" si="67"/>
      </c>
      <c r="I351" s="224">
        <f t="shared" si="59"/>
      </c>
      <c r="J351" s="227">
        <v>0</v>
      </c>
      <c r="K351" s="252"/>
      <c r="L351" s="253">
        <f t="shared" si="60"/>
      </c>
      <c r="M351" s="239">
        <f t="shared" si="61"/>
      </c>
    </row>
    <row r="352" spans="1:13" ht="12.75" hidden="1">
      <c r="A352" s="223">
        <f t="shared" si="62"/>
      </c>
      <c r="B352" s="224">
        <f t="shared" si="63"/>
      </c>
      <c r="C352" s="224">
        <f t="shared" si="64"/>
      </c>
      <c r="D352" s="235">
        <f t="shared" si="57"/>
      </c>
      <c r="E352" s="224">
        <f t="shared" si="58"/>
      </c>
      <c r="F352" s="224">
        <f t="shared" si="65"/>
      </c>
      <c r="G352" s="224">
        <f t="shared" si="66"/>
      </c>
      <c r="H352" s="224">
        <f t="shared" si="67"/>
      </c>
      <c r="I352" s="224">
        <f t="shared" si="59"/>
      </c>
      <c r="J352" s="227">
        <v>0</v>
      </c>
      <c r="K352" s="252"/>
      <c r="L352" s="253">
        <f t="shared" si="60"/>
      </c>
      <c r="M352" s="239">
        <f t="shared" si="61"/>
      </c>
    </row>
    <row r="353" spans="1:13" ht="12.75" hidden="1">
      <c r="A353" s="223">
        <f t="shared" si="62"/>
      </c>
      <c r="B353" s="224">
        <f t="shared" si="63"/>
      </c>
      <c r="C353" s="224">
        <f t="shared" si="64"/>
      </c>
      <c r="D353" s="235">
        <f t="shared" si="57"/>
      </c>
      <c r="E353" s="224">
        <f t="shared" si="58"/>
      </c>
      <c r="F353" s="224">
        <f t="shared" si="65"/>
      </c>
      <c r="G353" s="224">
        <f t="shared" si="66"/>
      </c>
      <c r="H353" s="224">
        <f t="shared" si="67"/>
      </c>
      <c r="I353" s="224">
        <f t="shared" si="59"/>
      </c>
      <c r="J353" s="227">
        <v>0</v>
      </c>
      <c r="K353" s="252"/>
      <c r="L353" s="253">
        <f t="shared" si="60"/>
      </c>
      <c r="M353" s="239">
        <f t="shared" si="61"/>
      </c>
    </row>
    <row r="354" spans="1:13" ht="12.75" hidden="1">
      <c r="A354" s="223">
        <f t="shared" si="62"/>
      </c>
      <c r="B354" s="224">
        <f t="shared" si="63"/>
      </c>
      <c r="C354" s="224">
        <f t="shared" si="64"/>
      </c>
      <c r="D354" s="235">
        <f t="shared" si="57"/>
      </c>
      <c r="E354" s="224">
        <f t="shared" si="58"/>
      </c>
      <c r="F354" s="224">
        <f t="shared" si="65"/>
      </c>
      <c r="G354" s="224">
        <f t="shared" si="66"/>
      </c>
      <c r="H354" s="224">
        <f t="shared" si="67"/>
      </c>
      <c r="I354" s="224">
        <f t="shared" si="59"/>
      </c>
      <c r="J354" s="227">
        <v>0</v>
      </c>
      <c r="K354" s="252"/>
      <c r="L354" s="253">
        <f t="shared" si="60"/>
      </c>
      <c r="M354" s="239">
        <f t="shared" si="61"/>
      </c>
    </row>
    <row r="355" spans="1:13" ht="12.75" hidden="1">
      <c r="A355" s="223">
        <f t="shared" si="62"/>
      </c>
      <c r="B355" s="224">
        <f t="shared" si="63"/>
      </c>
      <c r="C355" s="224">
        <f t="shared" si="64"/>
      </c>
      <c r="D355" s="235">
        <f t="shared" si="57"/>
      </c>
      <c r="E355" s="224">
        <f t="shared" si="58"/>
      </c>
      <c r="F355" s="224">
        <f t="shared" si="65"/>
      </c>
      <c r="G355" s="224">
        <f t="shared" si="66"/>
      </c>
      <c r="H355" s="224">
        <f t="shared" si="67"/>
      </c>
      <c r="I355" s="224">
        <f t="shared" si="59"/>
      </c>
      <c r="J355" s="227">
        <v>0</v>
      </c>
      <c r="K355" s="252"/>
      <c r="L355" s="253">
        <f t="shared" si="60"/>
      </c>
      <c r="M355" s="239">
        <f t="shared" si="61"/>
      </c>
    </row>
    <row r="356" spans="1:13" ht="12.75" hidden="1">
      <c r="A356" s="223">
        <f t="shared" si="62"/>
      </c>
      <c r="B356" s="224">
        <f t="shared" si="63"/>
      </c>
      <c r="C356" s="224">
        <f t="shared" si="64"/>
      </c>
      <c r="D356" s="235">
        <f t="shared" si="57"/>
      </c>
      <c r="E356" s="224">
        <f t="shared" si="58"/>
      </c>
      <c r="F356" s="224">
        <f t="shared" si="65"/>
      </c>
      <c r="G356" s="224">
        <f t="shared" si="66"/>
      </c>
      <c r="H356" s="224">
        <f t="shared" si="67"/>
      </c>
      <c r="I356" s="224">
        <f t="shared" si="59"/>
      </c>
      <c r="J356" s="227">
        <v>0</v>
      </c>
      <c r="K356" s="252"/>
      <c r="L356" s="253">
        <f t="shared" si="60"/>
      </c>
      <c r="M356" s="239">
        <f t="shared" si="61"/>
      </c>
    </row>
    <row r="357" spans="1:13" ht="12.75" hidden="1">
      <c r="A357" s="223">
        <f t="shared" si="62"/>
      </c>
      <c r="B357" s="224">
        <f t="shared" si="63"/>
      </c>
      <c r="C357" s="224">
        <f t="shared" si="64"/>
      </c>
      <c r="D357" s="235">
        <f t="shared" si="57"/>
      </c>
      <c r="E357" s="224">
        <f t="shared" si="58"/>
      </c>
      <c r="F357" s="224">
        <f t="shared" si="65"/>
      </c>
      <c r="G357" s="224">
        <f t="shared" si="66"/>
      </c>
      <c r="H357" s="224">
        <f t="shared" si="67"/>
      </c>
      <c r="I357" s="224">
        <f t="shared" si="59"/>
      </c>
      <c r="J357" s="227">
        <v>0</v>
      </c>
      <c r="K357" s="252"/>
      <c r="L357" s="253">
        <f t="shared" si="60"/>
      </c>
      <c r="M357" s="239">
        <f t="shared" si="61"/>
      </c>
    </row>
    <row r="358" spans="1:13" ht="12.75" hidden="1">
      <c r="A358" s="223">
        <f t="shared" si="62"/>
      </c>
      <c r="B358" s="224">
        <f t="shared" si="63"/>
      </c>
      <c r="C358" s="224">
        <f t="shared" si="64"/>
      </c>
      <c r="D358" s="235">
        <f t="shared" si="57"/>
      </c>
      <c r="E358" s="224">
        <f t="shared" si="58"/>
      </c>
      <c r="F358" s="224">
        <f t="shared" si="65"/>
      </c>
      <c r="G358" s="224">
        <f t="shared" si="66"/>
      </c>
      <c r="H358" s="224">
        <f t="shared" si="67"/>
      </c>
      <c r="I358" s="224">
        <f t="shared" si="59"/>
      </c>
      <c r="J358" s="227">
        <v>0</v>
      </c>
      <c r="K358" s="252"/>
      <c r="L358" s="253">
        <f t="shared" si="60"/>
      </c>
      <c r="M358" s="239">
        <f t="shared" si="61"/>
      </c>
    </row>
    <row r="359" spans="1:13" ht="12.75" hidden="1">
      <c r="A359" s="223">
        <f t="shared" si="62"/>
      </c>
      <c r="B359" s="224">
        <f t="shared" si="63"/>
      </c>
      <c r="C359" s="224">
        <f t="shared" si="64"/>
      </c>
      <c r="D359" s="235">
        <f t="shared" si="57"/>
      </c>
      <c r="E359" s="224">
        <f t="shared" si="58"/>
      </c>
      <c r="F359" s="224">
        <f t="shared" si="65"/>
      </c>
      <c r="G359" s="224">
        <f t="shared" si="66"/>
      </c>
      <c r="H359" s="224">
        <f t="shared" si="67"/>
      </c>
      <c r="I359" s="224">
        <f t="shared" si="59"/>
      </c>
      <c r="J359" s="227">
        <v>0</v>
      </c>
      <c r="K359" s="252"/>
      <c r="L359" s="253">
        <f t="shared" si="60"/>
      </c>
      <c r="M359" s="239">
        <f t="shared" si="61"/>
      </c>
    </row>
    <row r="360" spans="1:13" ht="12.75" hidden="1">
      <c r="A360" s="223">
        <f t="shared" si="62"/>
      </c>
      <c r="B360" s="224">
        <f t="shared" si="63"/>
      </c>
      <c r="C360" s="224">
        <f t="shared" si="64"/>
      </c>
      <c r="D360" s="235">
        <f t="shared" si="57"/>
      </c>
      <c r="E360" s="224">
        <f t="shared" si="58"/>
      </c>
      <c r="F360" s="224">
        <f t="shared" si="65"/>
      </c>
      <c r="G360" s="224">
        <f t="shared" si="66"/>
      </c>
      <c r="H360" s="224">
        <f t="shared" si="67"/>
      </c>
      <c r="I360" s="224">
        <f t="shared" si="59"/>
      </c>
      <c r="J360" s="227">
        <v>0</v>
      </c>
      <c r="K360" s="252"/>
      <c r="L360" s="253">
        <f t="shared" si="60"/>
      </c>
      <c r="M360" s="239">
        <f t="shared" si="61"/>
      </c>
    </row>
    <row r="361" spans="1:13" ht="12.75" hidden="1">
      <c r="A361" s="223">
        <f t="shared" si="62"/>
      </c>
      <c r="B361" s="224">
        <f t="shared" si="63"/>
      </c>
      <c r="C361" s="224">
        <f t="shared" si="64"/>
      </c>
      <c r="D361" s="235">
        <f t="shared" si="57"/>
      </c>
      <c r="E361" s="224">
        <f t="shared" si="58"/>
      </c>
      <c r="F361" s="224">
        <f t="shared" si="65"/>
      </c>
      <c r="G361" s="224">
        <f t="shared" si="66"/>
      </c>
      <c r="H361" s="224">
        <f t="shared" si="67"/>
      </c>
      <c r="I361" s="224">
        <f t="shared" si="59"/>
      </c>
      <c r="J361" s="227">
        <v>0</v>
      </c>
      <c r="K361" s="252"/>
      <c r="L361" s="253">
        <f t="shared" si="60"/>
      </c>
      <c r="M361" s="239">
        <f t="shared" si="61"/>
      </c>
    </row>
    <row r="362" spans="1:13" ht="12.75" hidden="1">
      <c r="A362" s="223">
        <f t="shared" si="62"/>
      </c>
      <c r="B362" s="224">
        <f t="shared" si="63"/>
      </c>
      <c r="C362" s="224">
        <f t="shared" si="64"/>
      </c>
      <c r="D362" s="235">
        <f t="shared" si="57"/>
      </c>
      <c r="E362" s="224">
        <f t="shared" si="58"/>
      </c>
      <c r="F362" s="224">
        <f t="shared" si="65"/>
      </c>
      <c r="G362" s="224">
        <f t="shared" si="66"/>
      </c>
      <c r="H362" s="224">
        <f t="shared" si="67"/>
      </c>
      <c r="I362" s="224">
        <f t="shared" si="59"/>
      </c>
      <c r="J362" s="227">
        <v>0</v>
      </c>
      <c r="K362" s="252"/>
      <c r="L362" s="253">
        <f t="shared" si="60"/>
      </c>
      <c r="M362" s="239">
        <f t="shared" si="61"/>
      </c>
    </row>
    <row r="363" spans="1:13" ht="12.75" hidden="1">
      <c r="A363" s="223">
        <f t="shared" si="62"/>
      </c>
      <c r="B363" s="224">
        <f t="shared" si="63"/>
      </c>
      <c r="C363" s="224">
        <f t="shared" si="64"/>
      </c>
      <c r="D363" s="235">
        <f t="shared" si="57"/>
      </c>
      <c r="E363" s="224">
        <f t="shared" si="58"/>
      </c>
      <c r="F363" s="224">
        <f t="shared" si="65"/>
      </c>
      <c r="G363" s="224">
        <f t="shared" si="66"/>
      </c>
      <c r="H363" s="224">
        <f t="shared" si="67"/>
      </c>
      <c r="I363" s="224">
        <f t="shared" si="59"/>
      </c>
      <c r="J363" s="227">
        <v>0</v>
      </c>
      <c r="K363" s="252"/>
      <c r="L363" s="253">
        <f t="shared" si="60"/>
      </c>
      <c r="M363" s="239">
        <f t="shared" si="61"/>
      </c>
    </row>
    <row r="364" spans="1:13" ht="12.75" hidden="1">
      <c r="A364" s="223">
        <f t="shared" si="62"/>
      </c>
      <c r="B364" s="224">
        <f t="shared" si="63"/>
      </c>
      <c r="C364" s="224">
        <f t="shared" si="64"/>
      </c>
      <c r="D364" s="235">
        <f t="shared" si="57"/>
      </c>
      <c r="E364" s="224">
        <f t="shared" si="58"/>
      </c>
      <c r="F364" s="224">
        <f t="shared" si="65"/>
      </c>
      <c r="G364" s="224">
        <f t="shared" si="66"/>
      </c>
      <c r="H364" s="224">
        <f t="shared" si="67"/>
      </c>
      <c r="I364" s="224">
        <f t="shared" si="59"/>
      </c>
      <c r="J364" s="227">
        <v>0</v>
      </c>
      <c r="K364" s="252"/>
      <c r="L364" s="253">
        <f t="shared" si="60"/>
      </c>
      <c r="M364" s="239">
        <f t="shared" si="61"/>
      </c>
    </row>
    <row r="365" spans="1:13" ht="12.75" hidden="1">
      <c r="A365" s="223">
        <f t="shared" si="62"/>
      </c>
      <c r="B365" s="224">
        <f t="shared" si="63"/>
      </c>
      <c r="C365" s="224">
        <f t="shared" si="64"/>
      </c>
      <c r="D365" s="235">
        <f t="shared" si="57"/>
      </c>
      <c r="E365" s="224">
        <f t="shared" si="58"/>
      </c>
      <c r="F365" s="224">
        <f t="shared" si="65"/>
      </c>
      <c r="G365" s="224">
        <f t="shared" si="66"/>
      </c>
      <c r="H365" s="224">
        <f t="shared" si="67"/>
      </c>
      <c r="I365" s="224">
        <f t="shared" si="59"/>
      </c>
      <c r="J365" s="227">
        <v>0</v>
      </c>
      <c r="K365" s="252"/>
      <c r="L365" s="253">
        <f t="shared" si="60"/>
      </c>
      <c r="M365" s="239">
        <f t="shared" si="61"/>
      </c>
    </row>
    <row r="366" spans="1:13" ht="12.75" hidden="1">
      <c r="A366" s="223">
        <f t="shared" si="62"/>
      </c>
      <c r="B366" s="224">
        <f t="shared" si="63"/>
      </c>
      <c r="C366" s="224">
        <f t="shared" si="64"/>
      </c>
      <c r="D366" s="235">
        <f t="shared" si="57"/>
      </c>
      <c r="E366" s="224">
        <f t="shared" si="58"/>
      </c>
      <c r="F366" s="224">
        <f t="shared" si="65"/>
      </c>
      <c r="G366" s="224">
        <f t="shared" si="66"/>
      </c>
      <c r="H366" s="224">
        <f t="shared" si="67"/>
      </c>
      <c r="I366" s="224">
        <f t="shared" si="59"/>
      </c>
      <c r="J366" s="227">
        <v>0</v>
      </c>
      <c r="K366" s="252"/>
      <c r="L366" s="253">
        <f t="shared" si="60"/>
      </c>
      <c r="M366" s="239">
        <f t="shared" si="61"/>
      </c>
    </row>
    <row r="367" spans="1:13" ht="12.75" hidden="1">
      <c r="A367" s="223">
        <f t="shared" si="62"/>
      </c>
      <c r="B367" s="224">
        <f t="shared" si="63"/>
      </c>
      <c r="C367" s="224">
        <f t="shared" si="64"/>
      </c>
      <c r="D367" s="235">
        <f t="shared" si="57"/>
      </c>
      <c r="E367" s="224">
        <f t="shared" si="58"/>
      </c>
      <c r="F367" s="224">
        <f t="shared" si="65"/>
      </c>
      <c r="G367" s="224">
        <f t="shared" si="66"/>
      </c>
      <c r="H367" s="224">
        <f t="shared" si="67"/>
      </c>
      <c r="I367" s="224">
        <f t="shared" si="59"/>
      </c>
      <c r="J367" s="227">
        <v>0</v>
      </c>
      <c r="K367" s="252"/>
      <c r="L367" s="253">
        <f t="shared" si="60"/>
      </c>
      <c r="M367" s="239">
        <f t="shared" si="61"/>
      </c>
    </row>
    <row r="368" spans="1:13" ht="12.75" hidden="1">
      <c r="A368" s="223">
        <f t="shared" si="62"/>
      </c>
      <c r="B368" s="224">
        <f t="shared" si="63"/>
      </c>
      <c r="C368" s="224">
        <f t="shared" si="64"/>
      </c>
      <c r="D368" s="235">
        <f t="shared" si="57"/>
      </c>
      <c r="E368" s="224">
        <f t="shared" si="58"/>
      </c>
      <c r="F368" s="224">
        <f t="shared" si="65"/>
      </c>
      <c r="G368" s="224">
        <f t="shared" si="66"/>
      </c>
      <c r="H368" s="224">
        <f t="shared" si="67"/>
      </c>
      <c r="I368" s="224">
        <f t="shared" si="59"/>
      </c>
      <c r="J368" s="227">
        <v>0</v>
      </c>
      <c r="K368" s="252"/>
      <c r="L368" s="253">
        <f t="shared" si="60"/>
      </c>
      <c r="M368" s="239">
        <f t="shared" si="61"/>
      </c>
    </row>
    <row r="369" spans="1:13" ht="12.75" hidden="1">
      <c r="A369" s="223">
        <f t="shared" si="62"/>
      </c>
      <c r="B369" s="224">
        <f t="shared" si="63"/>
      </c>
      <c r="C369" s="224">
        <f t="shared" si="64"/>
      </c>
      <c r="D369" s="235">
        <f t="shared" si="57"/>
      </c>
      <c r="E369" s="224">
        <f t="shared" si="58"/>
      </c>
      <c r="F369" s="224">
        <f t="shared" si="65"/>
      </c>
      <c r="G369" s="224">
        <f t="shared" si="66"/>
      </c>
      <c r="H369" s="224">
        <f t="shared" si="67"/>
      </c>
      <c r="I369" s="224">
        <f t="shared" si="59"/>
      </c>
      <c r="J369" s="227">
        <v>0</v>
      </c>
      <c r="K369" s="252"/>
      <c r="L369" s="253">
        <f t="shared" si="60"/>
      </c>
      <c r="M369" s="239">
        <f t="shared" si="61"/>
      </c>
    </row>
    <row r="370" spans="1:13" ht="12.75" hidden="1">
      <c r="A370" s="223">
        <f t="shared" si="62"/>
      </c>
      <c r="B370" s="224">
        <f t="shared" si="63"/>
      </c>
      <c r="C370" s="224">
        <f t="shared" si="64"/>
      </c>
      <c r="D370" s="235">
        <f t="shared" si="57"/>
      </c>
      <c r="E370" s="224">
        <f t="shared" si="58"/>
      </c>
      <c r="F370" s="224">
        <f t="shared" si="65"/>
      </c>
      <c r="G370" s="224">
        <f t="shared" si="66"/>
      </c>
      <c r="H370" s="224">
        <f t="shared" si="67"/>
      </c>
      <c r="I370" s="224">
        <f t="shared" si="59"/>
      </c>
      <c r="J370" s="227">
        <v>0</v>
      </c>
      <c r="K370" s="252"/>
      <c r="L370" s="253">
        <f t="shared" si="60"/>
      </c>
      <c r="M370" s="239">
        <f t="shared" si="61"/>
      </c>
    </row>
    <row r="371" spans="1:13" ht="12.75" hidden="1">
      <c r="A371" s="223">
        <f t="shared" si="62"/>
      </c>
      <c r="B371" s="224">
        <f t="shared" si="63"/>
      </c>
      <c r="C371" s="224">
        <f t="shared" si="64"/>
      </c>
      <c r="D371" s="235">
        <f t="shared" si="57"/>
      </c>
      <c r="E371" s="224">
        <f t="shared" si="58"/>
      </c>
      <c r="F371" s="224">
        <f t="shared" si="65"/>
      </c>
      <c r="G371" s="224">
        <f t="shared" si="66"/>
      </c>
      <c r="H371" s="224">
        <f t="shared" si="67"/>
      </c>
      <c r="I371" s="224">
        <f t="shared" si="59"/>
      </c>
      <c r="J371" s="227">
        <v>0</v>
      </c>
      <c r="K371" s="252"/>
      <c r="L371" s="253">
        <f t="shared" si="60"/>
      </c>
      <c r="M371" s="239">
        <f t="shared" si="61"/>
      </c>
    </row>
    <row r="372" spans="1:13" ht="12.75" hidden="1">
      <c r="A372" s="223">
        <f t="shared" si="62"/>
      </c>
      <c r="B372" s="224">
        <f t="shared" si="63"/>
      </c>
      <c r="C372" s="224">
        <f t="shared" si="64"/>
      </c>
      <c r="D372" s="235">
        <f t="shared" si="57"/>
      </c>
      <c r="E372" s="224">
        <f t="shared" si="58"/>
      </c>
      <c r="F372" s="224">
        <f t="shared" si="65"/>
      </c>
      <c r="G372" s="224">
        <f t="shared" si="66"/>
      </c>
      <c r="H372" s="224">
        <f t="shared" si="67"/>
      </c>
      <c r="I372" s="224">
        <f t="shared" si="59"/>
      </c>
      <c r="J372" s="227">
        <v>0</v>
      </c>
      <c r="K372" s="252"/>
      <c r="L372" s="253">
        <f t="shared" si="60"/>
      </c>
      <c r="M372" s="239">
        <f t="shared" si="61"/>
      </c>
    </row>
    <row r="373" spans="1:13" ht="12.75" hidden="1">
      <c r="A373" s="223">
        <f t="shared" si="62"/>
      </c>
      <c r="B373" s="224">
        <f t="shared" si="63"/>
      </c>
      <c r="C373" s="224">
        <f t="shared" si="64"/>
      </c>
      <c r="D373" s="235">
        <f t="shared" si="57"/>
      </c>
      <c r="E373" s="224">
        <f t="shared" si="58"/>
      </c>
      <c r="F373" s="224">
        <f t="shared" si="65"/>
      </c>
      <c r="G373" s="224">
        <f t="shared" si="66"/>
      </c>
      <c r="H373" s="224">
        <f t="shared" si="67"/>
      </c>
      <c r="I373" s="224">
        <f t="shared" si="59"/>
      </c>
      <c r="J373" s="227">
        <v>0</v>
      </c>
      <c r="K373" s="252"/>
      <c r="L373" s="253">
        <f t="shared" si="60"/>
      </c>
      <c r="M373" s="239">
        <f t="shared" si="61"/>
      </c>
    </row>
    <row r="374" spans="1:13" ht="12.75" hidden="1">
      <c r="A374" s="223">
        <f t="shared" si="62"/>
      </c>
      <c r="B374" s="224">
        <f t="shared" si="63"/>
      </c>
      <c r="C374" s="224">
        <f t="shared" si="64"/>
      </c>
      <c r="D374" s="235">
        <f t="shared" si="57"/>
      </c>
      <c r="E374" s="224">
        <f t="shared" si="58"/>
      </c>
      <c r="F374" s="224">
        <f t="shared" si="65"/>
      </c>
      <c r="G374" s="224">
        <f t="shared" si="66"/>
      </c>
      <c r="H374" s="224">
        <f t="shared" si="67"/>
      </c>
      <c r="I374" s="224">
        <f t="shared" si="59"/>
      </c>
      <c r="J374" s="227">
        <v>0</v>
      </c>
      <c r="K374" s="252"/>
      <c r="L374" s="253">
        <f t="shared" si="60"/>
      </c>
      <c r="M374" s="239">
        <f t="shared" si="61"/>
      </c>
    </row>
    <row r="375" spans="1:13" ht="12.75" hidden="1">
      <c r="A375" s="223">
        <f t="shared" si="62"/>
      </c>
      <c r="B375" s="224">
        <f t="shared" si="63"/>
      </c>
      <c r="C375" s="224">
        <f t="shared" si="64"/>
      </c>
      <c r="D375" s="235">
        <f t="shared" si="57"/>
      </c>
      <c r="E375" s="224">
        <f t="shared" si="58"/>
      </c>
      <c r="F375" s="224">
        <f t="shared" si="65"/>
      </c>
      <c r="G375" s="224">
        <f t="shared" si="66"/>
      </c>
      <c r="H375" s="224">
        <f t="shared" si="67"/>
      </c>
      <c r="I375" s="224">
        <f t="shared" si="59"/>
      </c>
      <c r="J375" s="227">
        <v>0</v>
      </c>
      <c r="K375" s="252"/>
      <c r="L375" s="253">
        <f t="shared" si="60"/>
      </c>
      <c r="M375" s="239">
        <f t="shared" si="61"/>
      </c>
    </row>
    <row r="376" spans="1:13" ht="12.75" hidden="1">
      <c r="A376" s="223">
        <f t="shared" si="62"/>
      </c>
      <c r="B376" s="224">
        <f t="shared" si="63"/>
      </c>
      <c r="C376" s="224">
        <f t="shared" si="64"/>
      </c>
      <c r="D376" s="235">
        <f t="shared" si="57"/>
      </c>
      <c r="E376" s="224">
        <f t="shared" si="58"/>
      </c>
      <c r="F376" s="224">
        <f t="shared" si="65"/>
      </c>
      <c r="G376" s="224">
        <f t="shared" si="66"/>
      </c>
      <c r="H376" s="224">
        <f t="shared" si="67"/>
      </c>
      <c r="I376" s="224">
        <f t="shared" si="59"/>
      </c>
      <c r="J376" s="227">
        <v>0</v>
      </c>
      <c r="K376" s="252"/>
      <c r="L376" s="253">
        <f t="shared" si="60"/>
      </c>
      <c r="M376" s="239">
        <f t="shared" si="61"/>
      </c>
    </row>
    <row r="377" spans="1:13" ht="12.75" hidden="1">
      <c r="A377" s="223">
        <f t="shared" si="62"/>
      </c>
      <c r="B377" s="224">
        <f t="shared" si="63"/>
      </c>
      <c r="C377" s="224">
        <f t="shared" si="64"/>
      </c>
      <c r="D377" s="235">
        <f aca="true" t="shared" si="68" ref="D377:D440">IF(A377="","",(B377*($C$17))/12)</f>
      </c>
      <c r="E377" s="224">
        <f aca="true" t="shared" si="69" ref="E377:E440">IF(B377&lt;(IF(A377="","",IF($J$52=2,$G$12,PMT($C$17/12,$C$18-A376,-B377,0,0)))),B377+D377,IF(A377="","",IF($J$52=2,$G$12,PMT($C$17/12,$C$18-A376,-B377,0,0))))</f>
      </c>
      <c r="F377" s="224">
        <f t="shared" si="65"/>
      </c>
      <c r="G377" s="224">
        <f t="shared" si="66"/>
      </c>
      <c r="H377" s="224">
        <f t="shared" si="67"/>
      </c>
      <c r="I377" s="224">
        <f aca="true" t="shared" si="70" ref="I377:I440">IF(A377="","",E377+F377+G377+H377)</f>
      </c>
      <c r="J377" s="227">
        <v>0</v>
      </c>
      <c r="K377" s="252"/>
      <c r="L377" s="253">
        <f aca="true" t="shared" si="71" ref="L377:L440">IF(A377="","",B377-C377-J377-K377)</f>
      </c>
      <c r="M377" s="239">
        <f aca="true" t="shared" si="72" ref="M377:M440">IF(A377="","",G377+F377)</f>
      </c>
    </row>
    <row r="378" spans="1:13" ht="12.75" hidden="1">
      <c r="A378" s="223">
        <f aca="true" t="shared" si="73" ref="A378:A441">IF(A377="","",IF((B377-C377)&lt;0.01,"",A377+1))</f>
      </c>
      <c r="B378" s="224">
        <f aca="true" t="shared" si="74" ref="B378:B441">IF(A378="","",(B377-C377-J377-K377))</f>
      </c>
      <c r="C378" s="224">
        <f aca="true" t="shared" si="75" ref="C378:C441">IF(A378="","",E378-D378)</f>
      </c>
      <c r="D378" s="235">
        <f t="shared" si="68"/>
      </c>
      <c r="E378" s="224">
        <f t="shared" si="69"/>
      </c>
      <c r="F378" s="224">
        <f aca="true" t="shared" si="76" ref="F378:F441">IF(A378="","",F377)</f>
      </c>
      <c r="G378" s="224">
        <f aca="true" t="shared" si="77" ref="G378:G441">IF(A378="","",G377)</f>
      </c>
      <c r="H378" s="224">
        <f aca="true" t="shared" si="78" ref="H378:H441">IF(A378="","",H377)</f>
      </c>
      <c r="I378" s="224">
        <f t="shared" si="70"/>
      </c>
      <c r="J378" s="227">
        <v>0</v>
      </c>
      <c r="K378" s="252"/>
      <c r="L378" s="253">
        <f t="shared" si="71"/>
      </c>
      <c r="M378" s="239">
        <f t="shared" si="72"/>
      </c>
    </row>
    <row r="379" spans="1:13" ht="12.75" hidden="1">
      <c r="A379" s="223">
        <f t="shared" si="73"/>
      </c>
      <c r="B379" s="224">
        <f t="shared" si="74"/>
      </c>
      <c r="C379" s="224">
        <f t="shared" si="75"/>
      </c>
      <c r="D379" s="235">
        <f t="shared" si="68"/>
      </c>
      <c r="E379" s="224">
        <f t="shared" si="69"/>
      </c>
      <c r="F379" s="224">
        <f t="shared" si="76"/>
      </c>
      <c r="G379" s="224">
        <f t="shared" si="77"/>
      </c>
      <c r="H379" s="224">
        <f t="shared" si="78"/>
      </c>
      <c r="I379" s="224">
        <f t="shared" si="70"/>
      </c>
      <c r="J379" s="227">
        <v>0</v>
      </c>
      <c r="K379" s="252"/>
      <c r="L379" s="253">
        <f t="shared" si="71"/>
      </c>
      <c r="M379" s="239">
        <f t="shared" si="72"/>
      </c>
    </row>
    <row r="380" spans="1:13" ht="12.75" hidden="1">
      <c r="A380" s="223">
        <f t="shared" si="73"/>
      </c>
      <c r="B380" s="224">
        <f t="shared" si="74"/>
      </c>
      <c r="C380" s="224">
        <f t="shared" si="75"/>
      </c>
      <c r="D380" s="235">
        <f t="shared" si="68"/>
      </c>
      <c r="E380" s="224">
        <f t="shared" si="69"/>
      </c>
      <c r="F380" s="224">
        <f t="shared" si="76"/>
      </c>
      <c r="G380" s="224">
        <f t="shared" si="77"/>
      </c>
      <c r="H380" s="224">
        <f t="shared" si="78"/>
      </c>
      <c r="I380" s="224">
        <f t="shared" si="70"/>
      </c>
      <c r="J380" s="227">
        <v>0</v>
      </c>
      <c r="K380" s="252"/>
      <c r="L380" s="253">
        <f t="shared" si="71"/>
      </c>
      <c r="M380" s="239">
        <f t="shared" si="72"/>
      </c>
    </row>
    <row r="381" spans="1:13" ht="12.75" hidden="1">
      <c r="A381" s="223">
        <f t="shared" si="73"/>
      </c>
      <c r="B381" s="224">
        <f t="shared" si="74"/>
      </c>
      <c r="C381" s="224">
        <f t="shared" si="75"/>
      </c>
      <c r="D381" s="235">
        <f t="shared" si="68"/>
      </c>
      <c r="E381" s="224">
        <f t="shared" si="69"/>
      </c>
      <c r="F381" s="224">
        <f t="shared" si="76"/>
      </c>
      <c r="G381" s="224">
        <f t="shared" si="77"/>
      </c>
      <c r="H381" s="224">
        <f t="shared" si="78"/>
      </c>
      <c r="I381" s="224">
        <f t="shared" si="70"/>
      </c>
      <c r="J381" s="227">
        <v>0</v>
      </c>
      <c r="K381" s="252"/>
      <c r="L381" s="253">
        <f t="shared" si="71"/>
      </c>
      <c r="M381" s="239">
        <f t="shared" si="72"/>
      </c>
    </row>
    <row r="382" spans="1:13" ht="12.75" hidden="1">
      <c r="A382" s="223">
        <f t="shared" si="73"/>
      </c>
      <c r="B382" s="224">
        <f t="shared" si="74"/>
      </c>
      <c r="C382" s="224">
        <f t="shared" si="75"/>
      </c>
      <c r="D382" s="235">
        <f t="shared" si="68"/>
      </c>
      <c r="E382" s="224">
        <f t="shared" si="69"/>
      </c>
      <c r="F382" s="224">
        <f t="shared" si="76"/>
      </c>
      <c r="G382" s="224">
        <f t="shared" si="77"/>
      </c>
      <c r="H382" s="224">
        <f t="shared" si="78"/>
      </c>
      <c r="I382" s="224">
        <f t="shared" si="70"/>
      </c>
      <c r="J382" s="227">
        <v>0</v>
      </c>
      <c r="K382" s="252"/>
      <c r="L382" s="253">
        <f t="shared" si="71"/>
      </c>
      <c r="M382" s="239">
        <f t="shared" si="72"/>
      </c>
    </row>
    <row r="383" spans="1:13" ht="12.75" hidden="1">
      <c r="A383" s="223">
        <f t="shared" si="73"/>
      </c>
      <c r="B383" s="224">
        <f t="shared" si="74"/>
      </c>
      <c r="C383" s="224">
        <f t="shared" si="75"/>
      </c>
      <c r="D383" s="235">
        <f t="shared" si="68"/>
      </c>
      <c r="E383" s="224">
        <f t="shared" si="69"/>
      </c>
      <c r="F383" s="224">
        <f t="shared" si="76"/>
      </c>
      <c r="G383" s="224">
        <f t="shared" si="77"/>
      </c>
      <c r="H383" s="224">
        <f t="shared" si="78"/>
      </c>
      <c r="I383" s="224">
        <f t="shared" si="70"/>
      </c>
      <c r="J383" s="227">
        <v>0</v>
      </c>
      <c r="K383" s="252"/>
      <c r="L383" s="253">
        <f t="shared" si="71"/>
      </c>
      <c r="M383" s="239">
        <f t="shared" si="72"/>
      </c>
    </row>
    <row r="384" spans="1:13" ht="12.75" hidden="1">
      <c r="A384" s="223">
        <f t="shared" si="73"/>
      </c>
      <c r="B384" s="224">
        <f t="shared" si="74"/>
      </c>
      <c r="C384" s="224">
        <f t="shared" si="75"/>
      </c>
      <c r="D384" s="235">
        <f t="shared" si="68"/>
      </c>
      <c r="E384" s="224">
        <f t="shared" si="69"/>
      </c>
      <c r="F384" s="224">
        <f t="shared" si="76"/>
      </c>
      <c r="G384" s="224">
        <f t="shared" si="77"/>
      </c>
      <c r="H384" s="224">
        <f t="shared" si="78"/>
      </c>
      <c r="I384" s="224">
        <f t="shared" si="70"/>
      </c>
      <c r="J384" s="227">
        <v>0</v>
      </c>
      <c r="K384" s="252"/>
      <c r="L384" s="253">
        <f t="shared" si="71"/>
      </c>
      <c r="M384" s="239">
        <f t="shared" si="72"/>
      </c>
    </row>
    <row r="385" spans="1:13" ht="12.75" hidden="1">
      <c r="A385" s="223">
        <f t="shared" si="73"/>
      </c>
      <c r="B385" s="224">
        <f t="shared" si="74"/>
      </c>
      <c r="C385" s="224">
        <f t="shared" si="75"/>
      </c>
      <c r="D385" s="235">
        <f t="shared" si="68"/>
      </c>
      <c r="E385" s="224">
        <f t="shared" si="69"/>
      </c>
      <c r="F385" s="224">
        <f t="shared" si="76"/>
      </c>
      <c r="G385" s="224">
        <f t="shared" si="77"/>
      </c>
      <c r="H385" s="224">
        <f t="shared" si="78"/>
      </c>
      <c r="I385" s="224">
        <f t="shared" si="70"/>
      </c>
      <c r="J385" s="227">
        <v>0</v>
      </c>
      <c r="K385" s="252"/>
      <c r="L385" s="253">
        <f t="shared" si="71"/>
      </c>
      <c r="M385" s="239">
        <f t="shared" si="72"/>
      </c>
    </row>
    <row r="386" spans="1:13" ht="12.75" hidden="1">
      <c r="A386" s="223">
        <f t="shared" si="73"/>
      </c>
      <c r="B386" s="224">
        <f t="shared" si="74"/>
      </c>
      <c r="C386" s="224">
        <f t="shared" si="75"/>
      </c>
      <c r="D386" s="235">
        <f t="shared" si="68"/>
      </c>
      <c r="E386" s="224">
        <f t="shared" si="69"/>
      </c>
      <c r="F386" s="224">
        <f t="shared" si="76"/>
      </c>
      <c r="G386" s="224">
        <f t="shared" si="77"/>
      </c>
      <c r="H386" s="224">
        <f t="shared" si="78"/>
      </c>
      <c r="I386" s="224">
        <f t="shared" si="70"/>
      </c>
      <c r="J386" s="227">
        <v>0</v>
      </c>
      <c r="K386" s="252"/>
      <c r="L386" s="253">
        <f t="shared" si="71"/>
      </c>
      <c r="M386" s="239">
        <f t="shared" si="72"/>
      </c>
    </row>
    <row r="387" spans="1:13" ht="12.75" hidden="1">
      <c r="A387" s="223">
        <f t="shared" si="73"/>
      </c>
      <c r="B387" s="224">
        <f t="shared" si="74"/>
      </c>
      <c r="C387" s="224">
        <f t="shared" si="75"/>
      </c>
      <c r="D387" s="235">
        <f t="shared" si="68"/>
      </c>
      <c r="E387" s="224">
        <f t="shared" si="69"/>
      </c>
      <c r="F387" s="224">
        <f t="shared" si="76"/>
      </c>
      <c r="G387" s="224">
        <f t="shared" si="77"/>
      </c>
      <c r="H387" s="224">
        <f t="shared" si="78"/>
      </c>
      <c r="I387" s="224">
        <f t="shared" si="70"/>
      </c>
      <c r="J387" s="227">
        <v>0</v>
      </c>
      <c r="K387" s="252"/>
      <c r="L387" s="253">
        <f t="shared" si="71"/>
      </c>
      <c r="M387" s="239">
        <f t="shared" si="72"/>
      </c>
    </row>
    <row r="388" spans="1:13" ht="12.75" hidden="1">
      <c r="A388" s="223">
        <f t="shared" si="73"/>
      </c>
      <c r="B388" s="224">
        <f t="shared" si="74"/>
      </c>
      <c r="C388" s="224">
        <f t="shared" si="75"/>
      </c>
      <c r="D388" s="235">
        <f t="shared" si="68"/>
      </c>
      <c r="E388" s="224">
        <f t="shared" si="69"/>
      </c>
      <c r="F388" s="224">
        <f t="shared" si="76"/>
      </c>
      <c r="G388" s="224">
        <f t="shared" si="77"/>
      </c>
      <c r="H388" s="224">
        <f t="shared" si="78"/>
      </c>
      <c r="I388" s="224">
        <f t="shared" si="70"/>
      </c>
      <c r="J388" s="227">
        <v>0</v>
      </c>
      <c r="K388" s="252"/>
      <c r="L388" s="253">
        <f t="shared" si="71"/>
      </c>
      <c r="M388" s="239">
        <f t="shared" si="72"/>
      </c>
    </row>
    <row r="389" spans="1:13" ht="12.75" hidden="1">
      <c r="A389" s="223">
        <f t="shared" si="73"/>
      </c>
      <c r="B389" s="224">
        <f t="shared" si="74"/>
      </c>
      <c r="C389" s="224">
        <f t="shared" si="75"/>
      </c>
      <c r="D389" s="235">
        <f t="shared" si="68"/>
      </c>
      <c r="E389" s="224">
        <f t="shared" si="69"/>
      </c>
      <c r="F389" s="224">
        <f t="shared" si="76"/>
      </c>
      <c r="G389" s="224">
        <f t="shared" si="77"/>
      </c>
      <c r="H389" s="224">
        <f t="shared" si="78"/>
      </c>
      <c r="I389" s="224">
        <f t="shared" si="70"/>
      </c>
      <c r="J389" s="227">
        <v>0</v>
      </c>
      <c r="K389" s="252"/>
      <c r="L389" s="253">
        <f t="shared" si="71"/>
      </c>
      <c r="M389" s="239">
        <f t="shared" si="72"/>
      </c>
    </row>
    <row r="390" spans="1:13" ht="12.75" hidden="1">
      <c r="A390" s="223">
        <f t="shared" si="73"/>
      </c>
      <c r="B390" s="224">
        <f t="shared" si="74"/>
      </c>
      <c r="C390" s="224">
        <f t="shared" si="75"/>
      </c>
      <c r="D390" s="235">
        <f t="shared" si="68"/>
      </c>
      <c r="E390" s="224">
        <f t="shared" si="69"/>
      </c>
      <c r="F390" s="224">
        <f t="shared" si="76"/>
      </c>
      <c r="G390" s="224">
        <f t="shared" si="77"/>
      </c>
      <c r="H390" s="224">
        <f t="shared" si="78"/>
      </c>
      <c r="I390" s="224">
        <f t="shared" si="70"/>
      </c>
      <c r="J390" s="227">
        <v>0</v>
      </c>
      <c r="K390" s="252"/>
      <c r="L390" s="253">
        <f t="shared" si="71"/>
      </c>
      <c r="M390" s="239">
        <f t="shared" si="72"/>
      </c>
    </row>
    <row r="391" spans="1:13" ht="12.75" hidden="1">
      <c r="A391" s="223">
        <f t="shared" si="73"/>
      </c>
      <c r="B391" s="224">
        <f t="shared" si="74"/>
      </c>
      <c r="C391" s="224">
        <f t="shared" si="75"/>
      </c>
      <c r="D391" s="235">
        <f t="shared" si="68"/>
      </c>
      <c r="E391" s="224">
        <f t="shared" si="69"/>
      </c>
      <c r="F391" s="224">
        <f t="shared" si="76"/>
      </c>
      <c r="G391" s="224">
        <f t="shared" si="77"/>
      </c>
      <c r="H391" s="224">
        <f t="shared" si="78"/>
      </c>
      <c r="I391" s="224">
        <f t="shared" si="70"/>
      </c>
      <c r="J391" s="227">
        <v>0</v>
      </c>
      <c r="K391" s="252"/>
      <c r="L391" s="253">
        <f t="shared" si="71"/>
      </c>
      <c r="M391" s="239">
        <f t="shared" si="72"/>
      </c>
    </row>
    <row r="392" spans="1:13" ht="12.75" hidden="1">
      <c r="A392" s="223">
        <f t="shared" si="73"/>
      </c>
      <c r="B392" s="224">
        <f t="shared" si="74"/>
      </c>
      <c r="C392" s="224">
        <f t="shared" si="75"/>
      </c>
      <c r="D392" s="235">
        <f t="shared" si="68"/>
      </c>
      <c r="E392" s="224">
        <f t="shared" si="69"/>
      </c>
      <c r="F392" s="224">
        <f t="shared" si="76"/>
      </c>
      <c r="G392" s="224">
        <f t="shared" si="77"/>
      </c>
      <c r="H392" s="224">
        <f t="shared" si="78"/>
      </c>
      <c r="I392" s="224">
        <f t="shared" si="70"/>
      </c>
      <c r="J392" s="227">
        <v>0</v>
      </c>
      <c r="K392" s="252"/>
      <c r="L392" s="253">
        <f t="shared" si="71"/>
      </c>
      <c r="M392" s="239">
        <f t="shared" si="72"/>
      </c>
    </row>
    <row r="393" spans="1:13" ht="12.75" hidden="1">
      <c r="A393" s="223">
        <f t="shared" si="73"/>
      </c>
      <c r="B393" s="224">
        <f t="shared" si="74"/>
      </c>
      <c r="C393" s="224">
        <f t="shared" si="75"/>
      </c>
      <c r="D393" s="235">
        <f t="shared" si="68"/>
      </c>
      <c r="E393" s="224">
        <f t="shared" si="69"/>
      </c>
      <c r="F393" s="224">
        <f t="shared" si="76"/>
      </c>
      <c r="G393" s="224">
        <f t="shared" si="77"/>
      </c>
      <c r="H393" s="224">
        <f t="shared" si="78"/>
      </c>
      <c r="I393" s="224">
        <f t="shared" si="70"/>
      </c>
      <c r="J393" s="227">
        <v>0</v>
      </c>
      <c r="K393" s="252"/>
      <c r="L393" s="253">
        <f t="shared" si="71"/>
      </c>
      <c r="M393" s="239">
        <f t="shared" si="72"/>
      </c>
    </row>
    <row r="394" spans="1:13" ht="12.75" hidden="1">
      <c r="A394" s="223">
        <f t="shared" si="73"/>
      </c>
      <c r="B394" s="224">
        <f t="shared" si="74"/>
      </c>
      <c r="C394" s="224">
        <f t="shared" si="75"/>
      </c>
      <c r="D394" s="235">
        <f t="shared" si="68"/>
      </c>
      <c r="E394" s="224">
        <f t="shared" si="69"/>
      </c>
      <c r="F394" s="224">
        <f t="shared" si="76"/>
      </c>
      <c r="G394" s="224">
        <f t="shared" si="77"/>
      </c>
      <c r="H394" s="224">
        <f t="shared" si="78"/>
      </c>
      <c r="I394" s="224">
        <f t="shared" si="70"/>
      </c>
      <c r="J394" s="227">
        <v>0</v>
      </c>
      <c r="K394" s="252"/>
      <c r="L394" s="253">
        <f t="shared" si="71"/>
      </c>
      <c r="M394" s="239">
        <f t="shared" si="72"/>
      </c>
    </row>
    <row r="395" spans="1:13" ht="12.75" hidden="1">
      <c r="A395" s="223">
        <f t="shared" si="73"/>
      </c>
      <c r="B395" s="224">
        <f t="shared" si="74"/>
      </c>
      <c r="C395" s="224">
        <f t="shared" si="75"/>
      </c>
      <c r="D395" s="235">
        <f t="shared" si="68"/>
      </c>
      <c r="E395" s="224">
        <f t="shared" si="69"/>
      </c>
      <c r="F395" s="224">
        <f t="shared" si="76"/>
      </c>
      <c r="G395" s="224">
        <f t="shared" si="77"/>
      </c>
      <c r="H395" s="224">
        <f t="shared" si="78"/>
      </c>
      <c r="I395" s="224">
        <f t="shared" si="70"/>
      </c>
      <c r="J395" s="227">
        <v>0</v>
      </c>
      <c r="K395" s="252"/>
      <c r="L395" s="253">
        <f t="shared" si="71"/>
      </c>
      <c r="M395" s="239">
        <f t="shared" si="72"/>
      </c>
    </row>
    <row r="396" spans="1:13" ht="12.75" hidden="1">
      <c r="A396" s="223">
        <f t="shared" si="73"/>
      </c>
      <c r="B396" s="224">
        <f t="shared" si="74"/>
      </c>
      <c r="C396" s="224">
        <f t="shared" si="75"/>
      </c>
      <c r="D396" s="235">
        <f t="shared" si="68"/>
      </c>
      <c r="E396" s="224">
        <f t="shared" si="69"/>
      </c>
      <c r="F396" s="224">
        <f t="shared" si="76"/>
      </c>
      <c r="G396" s="224">
        <f t="shared" si="77"/>
      </c>
      <c r="H396" s="224">
        <f t="shared" si="78"/>
      </c>
      <c r="I396" s="224">
        <f t="shared" si="70"/>
      </c>
      <c r="J396" s="227">
        <v>0</v>
      </c>
      <c r="K396" s="252"/>
      <c r="L396" s="253">
        <f t="shared" si="71"/>
      </c>
      <c r="M396" s="239">
        <f t="shared" si="72"/>
      </c>
    </row>
    <row r="397" spans="1:13" ht="12.75" hidden="1">
      <c r="A397" s="223">
        <f t="shared" si="73"/>
      </c>
      <c r="B397" s="224">
        <f t="shared" si="74"/>
      </c>
      <c r="C397" s="224">
        <f t="shared" si="75"/>
      </c>
      <c r="D397" s="235">
        <f t="shared" si="68"/>
      </c>
      <c r="E397" s="224">
        <f t="shared" si="69"/>
      </c>
      <c r="F397" s="224">
        <f t="shared" si="76"/>
      </c>
      <c r="G397" s="224">
        <f t="shared" si="77"/>
      </c>
      <c r="H397" s="224">
        <f t="shared" si="78"/>
      </c>
      <c r="I397" s="224">
        <f t="shared" si="70"/>
      </c>
      <c r="J397" s="227">
        <v>0</v>
      </c>
      <c r="K397" s="252"/>
      <c r="L397" s="253">
        <f t="shared" si="71"/>
      </c>
      <c r="M397" s="239">
        <f t="shared" si="72"/>
      </c>
    </row>
    <row r="398" spans="1:13" ht="12.75" hidden="1">
      <c r="A398" s="223">
        <f t="shared" si="73"/>
      </c>
      <c r="B398" s="224">
        <f t="shared" si="74"/>
      </c>
      <c r="C398" s="224">
        <f t="shared" si="75"/>
      </c>
      <c r="D398" s="235">
        <f t="shared" si="68"/>
      </c>
      <c r="E398" s="224">
        <f t="shared" si="69"/>
      </c>
      <c r="F398" s="224">
        <f t="shared" si="76"/>
      </c>
      <c r="G398" s="224">
        <f t="shared" si="77"/>
      </c>
      <c r="H398" s="224">
        <f t="shared" si="78"/>
      </c>
      <c r="I398" s="224">
        <f t="shared" si="70"/>
      </c>
      <c r="J398" s="227">
        <v>0</v>
      </c>
      <c r="K398" s="252"/>
      <c r="L398" s="253">
        <f t="shared" si="71"/>
      </c>
      <c r="M398" s="239">
        <f t="shared" si="72"/>
      </c>
    </row>
    <row r="399" spans="1:13" ht="12.75" hidden="1">
      <c r="A399" s="223">
        <f t="shared" si="73"/>
      </c>
      <c r="B399" s="224">
        <f t="shared" si="74"/>
      </c>
      <c r="C399" s="224">
        <f t="shared" si="75"/>
      </c>
      <c r="D399" s="235">
        <f t="shared" si="68"/>
      </c>
      <c r="E399" s="224">
        <f t="shared" si="69"/>
      </c>
      <c r="F399" s="224">
        <f t="shared" si="76"/>
      </c>
      <c r="G399" s="224">
        <f t="shared" si="77"/>
      </c>
      <c r="H399" s="224">
        <f t="shared" si="78"/>
      </c>
      <c r="I399" s="224">
        <f t="shared" si="70"/>
      </c>
      <c r="J399" s="227">
        <v>0</v>
      </c>
      <c r="K399" s="252"/>
      <c r="L399" s="253">
        <f t="shared" si="71"/>
      </c>
      <c r="M399" s="239">
        <f t="shared" si="72"/>
      </c>
    </row>
    <row r="400" spans="1:13" ht="12.75" hidden="1">
      <c r="A400" s="223">
        <f t="shared" si="73"/>
      </c>
      <c r="B400" s="224">
        <f t="shared" si="74"/>
      </c>
      <c r="C400" s="224">
        <f t="shared" si="75"/>
      </c>
      <c r="D400" s="235">
        <f t="shared" si="68"/>
      </c>
      <c r="E400" s="224">
        <f t="shared" si="69"/>
      </c>
      <c r="F400" s="224">
        <f t="shared" si="76"/>
      </c>
      <c r="G400" s="224">
        <f t="shared" si="77"/>
      </c>
      <c r="H400" s="224">
        <f t="shared" si="78"/>
      </c>
      <c r="I400" s="224">
        <f t="shared" si="70"/>
      </c>
      <c r="J400" s="227">
        <v>0</v>
      </c>
      <c r="K400" s="252"/>
      <c r="L400" s="253">
        <f t="shared" si="71"/>
      </c>
      <c r="M400" s="239">
        <f t="shared" si="72"/>
      </c>
    </row>
    <row r="401" spans="1:13" ht="12.75" hidden="1">
      <c r="A401" s="223">
        <f t="shared" si="73"/>
      </c>
      <c r="B401" s="224">
        <f t="shared" si="74"/>
      </c>
      <c r="C401" s="224">
        <f t="shared" si="75"/>
      </c>
      <c r="D401" s="235">
        <f t="shared" si="68"/>
      </c>
      <c r="E401" s="224">
        <f t="shared" si="69"/>
      </c>
      <c r="F401" s="224">
        <f t="shared" si="76"/>
      </c>
      <c r="G401" s="224">
        <f t="shared" si="77"/>
      </c>
      <c r="H401" s="224">
        <f t="shared" si="78"/>
      </c>
      <c r="I401" s="224">
        <f t="shared" si="70"/>
      </c>
      <c r="J401" s="227">
        <v>0</v>
      </c>
      <c r="K401" s="252"/>
      <c r="L401" s="253">
        <f t="shared" si="71"/>
      </c>
      <c r="M401" s="239">
        <f t="shared" si="72"/>
      </c>
    </row>
    <row r="402" spans="1:13" ht="12.75" hidden="1">
      <c r="A402" s="223">
        <f t="shared" si="73"/>
      </c>
      <c r="B402" s="224">
        <f t="shared" si="74"/>
      </c>
      <c r="C402" s="224">
        <f t="shared" si="75"/>
      </c>
      <c r="D402" s="235">
        <f t="shared" si="68"/>
      </c>
      <c r="E402" s="224">
        <f t="shared" si="69"/>
      </c>
      <c r="F402" s="224">
        <f t="shared" si="76"/>
      </c>
      <c r="G402" s="224">
        <f t="shared" si="77"/>
      </c>
      <c r="H402" s="224">
        <f t="shared" si="78"/>
      </c>
      <c r="I402" s="224">
        <f t="shared" si="70"/>
      </c>
      <c r="J402" s="227">
        <v>0</v>
      </c>
      <c r="K402" s="252"/>
      <c r="L402" s="253">
        <f t="shared" si="71"/>
      </c>
      <c r="M402" s="239">
        <f t="shared" si="72"/>
      </c>
    </row>
    <row r="403" spans="1:13" ht="12.75" hidden="1">
      <c r="A403" s="223">
        <f t="shared" si="73"/>
      </c>
      <c r="B403" s="224">
        <f t="shared" si="74"/>
      </c>
      <c r="C403" s="224">
        <f t="shared" si="75"/>
      </c>
      <c r="D403" s="235">
        <f t="shared" si="68"/>
      </c>
      <c r="E403" s="224">
        <f t="shared" si="69"/>
      </c>
      <c r="F403" s="224">
        <f t="shared" si="76"/>
      </c>
      <c r="G403" s="224">
        <f t="shared" si="77"/>
      </c>
      <c r="H403" s="224">
        <f t="shared" si="78"/>
      </c>
      <c r="I403" s="224">
        <f t="shared" si="70"/>
      </c>
      <c r="J403" s="227">
        <v>0</v>
      </c>
      <c r="K403" s="252"/>
      <c r="L403" s="253">
        <f t="shared" si="71"/>
      </c>
      <c r="M403" s="239">
        <f t="shared" si="72"/>
      </c>
    </row>
    <row r="404" spans="1:13" ht="12.75" hidden="1">
      <c r="A404" s="223">
        <f t="shared" si="73"/>
      </c>
      <c r="B404" s="224">
        <f t="shared" si="74"/>
      </c>
      <c r="C404" s="224">
        <f t="shared" si="75"/>
      </c>
      <c r="D404" s="235">
        <f t="shared" si="68"/>
      </c>
      <c r="E404" s="224">
        <f t="shared" si="69"/>
      </c>
      <c r="F404" s="224">
        <f t="shared" si="76"/>
      </c>
      <c r="G404" s="224">
        <f t="shared" si="77"/>
      </c>
      <c r="H404" s="224">
        <f t="shared" si="78"/>
      </c>
      <c r="I404" s="224">
        <f t="shared" si="70"/>
      </c>
      <c r="J404" s="227">
        <v>0</v>
      </c>
      <c r="K404" s="252"/>
      <c r="L404" s="253">
        <f t="shared" si="71"/>
      </c>
      <c r="M404" s="239">
        <f t="shared" si="72"/>
      </c>
    </row>
    <row r="405" spans="1:13" ht="12.75" hidden="1">
      <c r="A405" s="223">
        <f t="shared" si="73"/>
      </c>
      <c r="B405" s="224">
        <f t="shared" si="74"/>
      </c>
      <c r="C405" s="224">
        <f t="shared" si="75"/>
      </c>
      <c r="D405" s="235">
        <f t="shared" si="68"/>
      </c>
      <c r="E405" s="224">
        <f t="shared" si="69"/>
      </c>
      <c r="F405" s="224">
        <f t="shared" si="76"/>
      </c>
      <c r="G405" s="224">
        <f t="shared" si="77"/>
      </c>
      <c r="H405" s="224">
        <f t="shared" si="78"/>
      </c>
      <c r="I405" s="224">
        <f t="shared" si="70"/>
      </c>
      <c r="J405" s="227">
        <v>0</v>
      </c>
      <c r="K405" s="252"/>
      <c r="L405" s="253">
        <f t="shared" si="71"/>
      </c>
      <c r="M405" s="239">
        <f t="shared" si="72"/>
      </c>
    </row>
    <row r="406" spans="1:13" ht="12.75" hidden="1">
      <c r="A406" s="223">
        <f t="shared" si="73"/>
      </c>
      <c r="B406" s="224">
        <f t="shared" si="74"/>
      </c>
      <c r="C406" s="224">
        <f t="shared" si="75"/>
      </c>
      <c r="D406" s="235">
        <f t="shared" si="68"/>
      </c>
      <c r="E406" s="224">
        <f t="shared" si="69"/>
      </c>
      <c r="F406" s="224">
        <f t="shared" si="76"/>
      </c>
      <c r="G406" s="224">
        <f t="shared" si="77"/>
      </c>
      <c r="H406" s="224">
        <f t="shared" si="78"/>
      </c>
      <c r="I406" s="224">
        <f t="shared" si="70"/>
      </c>
      <c r="J406" s="227">
        <v>0</v>
      </c>
      <c r="K406" s="252"/>
      <c r="L406" s="253">
        <f t="shared" si="71"/>
      </c>
      <c r="M406" s="239">
        <f t="shared" si="72"/>
      </c>
    </row>
    <row r="407" spans="1:13" ht="12.75" hidden="1">
      <c r="A407" s="223">
        <f t="shared" si="73"/>
      </c>
      <c r="B407" s="224">
        <f t="shared" si="74"/>
      </c>
      <c r="C407" s="224">
        <f t="shared" si="75"/>
      </c>
      <c r="D407" s="235">
        <f t="shared" si="68"/>
      </c>
      <c r="E407" s="224">
        <f t="shared" si="69"/>
      </c>
      <c r="F407" s="224">
        <f t="shared" si="76"/>
      </c>
      <c r="G407" s="224">
        <f t="shared" si="77"/>
      </c>
      <c r="H407" s="224">
        <f t="shared" si="78"/>
      </c>
      <c r="I407" s="224">
        <f t="shared" si="70"/>
      </c>
      <c r="J407" s="227">
        <v>0</v>
      </c>
      <c r="K407" s="252"/>
      <c r="L407" s="253">
        <f t="shared" si="71"/>
      </c>
      <c r="M407" s="239">
        <f t="shared" si="72"/>
      </c>
    </row>
    <row r="408" spans="1:13" ht="12.75" hidden="1">
      <c r="A408" s="223">
        <f t="shared" si="73"/>
      </c>
      <c r="B408" s="224">
        <f t="shared" si="74"/>
      </c>
      <c r="C408" s="224">
        <f t="shared" si="75"/>
      </c>
      <c r="D408" s="235">
        <f t="shared" si="68"/>
      </c>
      <c r="E408" s="224">
        <f t="shared" si="69"/>
      </c>
      <c r="F408" s="224">
        <f t="shared" si="76"/>
      </c>
      <c r="G408" s="224">
        <f t="shared" si="77"/>
      </c>
      <c r="H408" s="224">
        <f t="shared" si="78"/>
      </c>
      <c r="I408" s="224">
        <f t="shared" si="70"/>
      </c>
      <c r="J408" s="227">
        <v>0</v>
      </c>
      <c r="K408" s="252"/>
      <c r="L408" s="253">
        <f t="shared" si="71"/>
      </c>
      <c r="M408" s="239">
        <f t="shared" si="72"/>
      </c>
    </row>
    <row r="409" spans="1:13" ht="12.75" hidden="1">
      <c r="A409" s="223">
        <f t="shared" si="73"/>
      </c>
      <c r="B409" s="224">
        <f t="shared" si="74"/>
      </c>
      <c r="C409" s="224">
        <f t="shared" si="75"/>
      </c>
      <c r="D409" s="235">
        <f t="shared" si="68"/>
      </c>
      <c r="E409" s="224">
        <f t="shared" si="69"/>
      </c>
      <c r="F409" s="224">
        <f t="shared" si="76"/>
      </c>
      <c r="G409" s="224">
        <f t="shared" si="77"/>
      </c>
      <c r="H409" s="224">
        <f t="shared" si="78"/>
      </c>
      <c r="I409" s="224">
        <f t="shared" si="70"/>
      </c>
      <c r="J409" s="227">
        <v>0</v>
      </c>
      <c r="K409" s="252"/>
      <c r="L409" s="253">
        <f t="shared" si="71"/>
      </c>
      <c r="M409" s="239">
        <f t="shared" si="72"/>
      </c>
    </row>
    <row r="410" spans="1:13" ht="12.75" hidden="1">
      <c r="A410" s="223">
        <f t="shared" si="73"/>
      </c>
      <c r="B410" s="224">
        <f t="shared" si="74"/>
      </c>
      <c r="C410" s="224">
        <f t="shared" si="75"/>
      </c>
      <c r="D410" s="235">
        <f t="shared" si="68"/>
      </c>
      <c r="E410" s="224">
        <f t="shared" si="69"/>
      </c>
      <c r="F410" s="224">
        <f t="shared" si="76"/>
      </c>
      <c r="G410" s="224">
        <f t="shared" si="77"/>
      </c>
      <c r="H410" s="224">
        <f t="shared" si="78"/>
      </c>
      <c r="I410" s="224">
        <f t="shared" si="70"/>
      </c>
      <c r="J410" s="227">
        <v>0</v>
      </c>
      <c r="K410" s="252"/>
      <c r="L410" s="253">
        <f t="shared" si="71"/>
      </c>
      <c r="M410" s="239">
        <f t="shared" si="72"/>
      </c>
    </row>
    <row r="411" spans="1:13" ht="12.75" hidden="1">
      <c r="A411" s="223">
        <f t="shared" si="73"/>
      </c>
      <c r="B411" s="224">
        <f t="shared" si="74"/>
      </c>
      <c r="C411" s="224">
        <f t="shared" si="75"/>
      </c>
      <c r="D411" s="235">
        <f t="shared" si="68"/>
      </c>
      <c r="E411" s="224">
        <f t="shared" si="69"/>
      </c>
      <c r="F411" s="224">
        <f t="shared" si="76"/>
      </c>
      <c r="G411" s="224">
        <f t="shared" si="77"/>
      </c>
      <c r="H411" s="224">
        <f t="shared" si="78"/>
      </c>
      <c r="I411" s="224">
        <f t="shared" si="70"/>
      </c>
      <c r="J411" s="227">
        <v>0</v>
      </c>
      <c r="K411" s="252"/>
      <c r="L411" s="253">
        <f t="shared" si="71"/>
      </c>
      <c r="M411" s="239">
        <f t="shared" si="72"/>
      </c>
    </row>
    <row r="412" spans="1:13" ht="12.75" hidden="1">
      <c r="A412" s="223">
        <f t="shared" si="73"/>
      </c>
      <c r="B412" s="224">
        <f t="shared" si="74"/>
      </c>
      <c r="C412" s="224">
        <f t="shared" si="75"/>
      </c>
      <c r="D412" s="235">
        <f t="shared" si="68"/>
      </c>
      <c r="E412" s="224">
        <f t="shared" si="69"/>
      </c>
      <c r="F412" s="224">
        <f t="shared" si="76"/>
      </c>
      <c r="G412" s="224">
        <f t="shared" si="77"/>
      </c>
      <c r="H412" s="224">
        <f t="shared" si="78"/>
      </c>
      <c r="I412" s="224">
        <f t="shared" si="70"/>
      </c>
      <c r="J412" s="227">
        <v>0</v>
      </c>
      <c r="K412" s="252"/>
      <c r="L412" s="253">
        <f t="shared" si="71"/>
      </c>
      <c r="M412" s="239">
        <f t="shared" si="72"/>
      </c>
    </row>
    <row r="413" spans="1:13" ht="12.75" hidden="1">
      <c r="A413" s="223">
        <f t="shared" si="73"/>
      </c>
      <c r="B413" s="224">
        <f t="shared" si="74"/>
      </c>
      <c r="C413" s="224">
        <f t="shared" si="75"/>
      </c>
      <c r="D413" s="235">
        <f t="shared" si="68"/>
      </c>
      <c r="E413" s="224">
        <f t="shared" si="69"/>
      </c>
      <c r="F413" s="224">
        <f t="shared" si="76"/>
      </c>
      <c r="G413" s="224">
        <f t="shared" si="77"/>
      </c>
      <c r="H413" s="224">
        <f t="shared" si="78"/>
      </c>
      <c r="I413" s="224">
        <f t="shared" si="70"/>
      </c>
      <c r="J413" s="227">
        <v>0</v>
      </c>
      <c r="K413" s="252"/>
      <c r="L413" s="253">
        <f t="shared" si="71"/>
      </c>
      <c r="M413" s="239">
        <f t="shared" si="72"/>
      </c>
    </row>
    <row r="414" spans="1:13" ht="12.75" hidden="1">
      <c r="A414" s="223">
        <f t="shared" si="73"/>
      </c>
      <c r="B414" s="224">
        <f t="shared" si="74"/>
      </c>
      <c r="C414" s="224">
        <f t="shared" si="75"/>
      </c>
      <c r="D414" s="235">
        <f t="shared" si="68"/>
      </c>
      <c r="E414" s="224">
        <f t="shared" si="69"/>
      </c>
      <c r="F414" s="224">
        <f t="shared" si="76"/>
      </c>
      <c r="G414" s="224">
        <f t="shared" si="77"/>
      </c>
      <c r="H414" s="224">
        <f t="shared" si="78"/>
      </c>
      <c r="I414" s="224">
        <f t="shared" si="70"/>
      </c>
      <c r="J414" s="227">
        <v>0</v>
      </c>
      <c r="K414" s="252"/>
      <c r="L414" s="253">
        <f t="shared" si="71"/>
      </c>
      <c r="M414" s="239">
        <f t="shared" si="72"/>
      </c>
    </row>
    <row r="415" spans="1:13" ht="12.75" hidden="1">
      <c r="A415" s="223">
        <f t="shared" si="73"/>
      </c>
      <c r="B415" s="224">
        <f t="shared" si="74"/>
      </c>
      <c r="C415" s="224">
        <f t="shared" si="75"/>
      </c>
      <c r="D415" s="235">
        <f t="shared" si="68"/>
      </c>
      <c r="E415" s="224">
        <f t="shared" si="69"/>
      </c>
      <c r="F415" s="224">
        <f t="shared" si="76"/>
      </c>
      <c r="G415" s="224">
        <f t="shared" si="77"/>
      </c>
      <c r="H415" s="224">
        <f t="shared" si="78"/>
      </c>
      <c r="I415" s="224">
        <f t="shared" si="70"/>
      </c>
      <c r="J415" s="227">
        <v>0</v>
      </c>
      <c r="K415" s="252"/>
      <c r="L415" s="253">
        <f t="shared" si="71"/>
      </c>
      <c r="M415" s="239">
        <f t="shared" si="72"/>
      </c>
    </row>
    <row r="416" spans="1:13" ht="12.75" hidden="1">
      <c r="A416" s="223">
        <f t="shared" si="73"/>
      </c>
      <c r="B416" s="224">
        <f t="shared" si="74"/>
      </c>
      <c r="C416" s="224">
        <f t="shared" si="75"/>
      </c>
      <c r="D416" s="235">
        <f t="shared" si="68"/>
      </c>
      <c r="E416" s="224">
        <f t="shared" si="69"/>
      </c>
      <c r="F416" s="224">
        <f t="shared" si="76"/>
      </c>
      <c r="G416" s="224">
        <f t="shared" si="77"/>
      </c>
      <c r="H416" s="224">
        <f t="shared" si="78"/>
      </c>
      <c r="I416" s="224">
        <f t="shared" si="70"/>
      </c>
      <c r="J416" s="227">
        <v>0</v>
      </c>
      <c r="K416" s="252"/>
      <c r="L416" s="253">
        <f t="shared" si="71"/>
      </c>
      <c r="M416" s="239">
        <f t="shared" si="72"/>
      </c>
    </row>
    <row r="417" spans="1:13" ht="12.75" hidden="1">
      <c r="A417" s="223">
        <f t="shared" si="73"/>
      </c>
      <c r="B417" s="224">
        <f t="shared" si="74"/>
      </c>
      <c r="C417" s="224">
        <f t="shared" si="75"/>
      </c>
      <c r="D417" s="235">
        <f t="shared" si="68"/>
      </c>
      <c r="E417" s="224">
        <f t="shared" si="69"/>
      </c>
      <c r="F417" s="224">
        <f t="shared" si="76"/>
      </c>
      <c r="G417" s="224">
        <f t="shared" si="77"/>
      </c>
      <c r="H417" s="224">
        <f t="shared" si="78"/>
      </c>
      <c r="I417" s="224">
        <f t="shared" si="70"/>
      </c>
      <c r="J417" s="227">
        <v>0</v>
      </c>
      <c r="K417" s="252"/>
      <c r="L417" s="253">
        <f t="shared" si="71"/>
      </c>
      <c r="M417" s="239">
        <f t="shared" si="72"/>
      </c>
    </row>
    <row r="418" spans="1:13" ht="12.75" hidden="1">
      <c r="A418" s="223">
        <f t="shared" si="73"/>
      </c>
      <c r="B418" s="224">
        <f t="shared" si="74"/>
      </c>
      <c r="C418" s="224">
        <f t="shared" si="75"/>
      </c>
      <c r="D418" s="235">
        <f t="shared" si="68"/>
      </c>
      <c r="E418" s="224">
        <f t="shared" si="69"/>
      </c>
      <c r="F418" s="224">
        <f t="shared" si="76"/>
      </c>
      <c r="G418" s="224">
        <f t="shared" si="77"/>
      </c>
      <c r="H418" s="224">
        <f t="shared" si="78"/>
      </c>
      <c r="I418" s="224">
        <f t="shared" si="70"/>
      </c>
      <c r="J418" s="227">
        <v>0</v>
      </c>
      <c r="K418" s="252"/>
      <c r="L418" s="253">
        <f t="shared" si="71"/>
      </c>
      <c r="M418" s="239">
        <f t="shared" si="72"/>
      </c>
    </row>
    <row r="419" spans="1:13" ht="12.75" hidden="1">
      <c r="A419" s="223">
        <f t="shared" si="73"/>
      </c>
      <c r="B419" s="224">
        <f t="shared" si="74"/>
      </c>
      <c r="C419" s="224">
        <f t="shared" si="75"/>
      </c>
      <c r="D419" s="235">
        <f t="shared" si="68"/>
      </c>
      <c r="E419" s="224">
        <f t="shared" si="69"/>
      </c>
      <c r="F419" s="224">
        <f t="shared" si="76"/>
      </c>
      <c r="G419" s="224">
        <f t="shared" si="77"/>
      </c>
      <c r="H419" s="224">
        <f t="shared" si="78"/>
      </c>
      <c r="I419" s="224">
        <f t="shared" si="70"/>
      </c>
      <c r="J419" s="227">
        <v>0</v>
      </c>
      <c r="K419" s="252"/>
      <c r="L419" s="253">
        <f t="shared" si="71"/>
      </c>
      <c r="M419" s="239">
        <f t="shared" si="72"/>
      </c>
    </row>
    <row r="420" spans="1:13" ht="12.75" hidden="1">
      <c r="A420" s="223">
        <f t="shared" si="73"/>
      </c>
      <c r="B420" s="224">
        <f t="shared" si="74"/>
      </c>
      <c r="C420" s="224">
        <f t="shared" si="75"/>
      </c>
      <c r="D420" s="235">
        <f t="shared" si="68"/>
      </c>
      <c r="E420" s="224">
        <f t="shared" si="69"/>
      </c>
      <c r="F420" s="224">
        <f t="shared" si="76"/>
      </c>
      <c r="G420" s="224">
        <f t="shared" si="77"/>
      </c>
      <c r="H420" s="224">
        <f t="shared" si="78"/>
      </c>
      <c r="I420" s="224">
        <f t="shared" si="70"/>
      </c>
      <c r="J420" s="227">
        <v>0</v>
      </c>
      <c r="K420" s="252"/>
      <c r="L420" s="253">
        <f t="shared" si="71"/>
      </c>
      <c r="M420" s="239">
        <f t="shared" si="72"/>
      </c>
    </row>
    <row r="421" spans="1:13" ht="12.75" hidden="1">
      <c r="A421" s="223">
        <f t="shared" si="73"/>
      </c>
      <c r="B421" s="224">
        <f t="shared" si="74"/>
      </c>
      <c r="C421" s="224">
        <f t="shared" si="75"/>
      </c>
      <c r="D421" s="235">
        <f t="shared" si="68"/>
      </c>
      <c r="E421" s="224">
        <f t="shared" si="69"/>
      </c>
      <c r="F421" s="224">
        <f t="shared" si="76"/>
      </c>
      <c r="G421" s="224">
        <f t="shared" si="77"/>
      </c>
      <c r="H421" s="224">
        <f t="shared" si="78"/>
      </c>
      <c r="I421" s="224">
        <f t="shared" si="70"/>
      </c>
      <c r="J421" s="227">
        <v>0</v>
      </c>
      <c r="K421" s="252"/>
      <c r="L421" s="253">
        <f t="shared" si="71"/>
      </c>
      <c r="M421" s="239">
        <f t="shared" si="72"/>
      </c>
    </row>
    <row r="422" spans="1:13" ht="12.75" hidden="1">
      <c r="A422" s="223">
        <f t="shared" si="73"/>
      </c>
      <c r="B422" s="224">
        <f t="shared" si="74"/>
      </c>
      <c r="C422" s="224">
        <f t="shared" si="75"/>
      </c>
      <c r="D422" s="235">
        <f t="shared" si="68"/>
      </c>
      <c r="E422" s="224">
        <f t="shared" si="69"/>
      </c>
      <c r="F422" s="224">
        <f t="shared" si="76"/>
      </c>
      <c r="G422" s="224">
        <f t="shared" si="77"/>
      </c>
      <c r="H422" s="224">
        <f t="shared" si="78"/>
      </c>
      <c r="I422" s="224">
        <f t="shared" si="70"/>
      </c>
      <c r="J422" s="227">
        <v>0</v>
      </c>
      <c r="K422" s="252"/>
      <c r="L422" s="253">
        <f t="shared" si="71"/>
      </c>
      <c r="M422" s="239">
        <f t="shared" si="72"/>
      </c>
    </row>
    <row r="423" spans="1:13" ht="12.75" hidden="1">
      <c r="A423" s="223">
        <f t="shared" si="73"/>
      </c>
      <c r="B423" s="224">
        <f t="shared" si="74"/>
      </c>
      <c r="C423" s="224">
        <f t="shared" si="75"/>
      </c>
      <c r="D423" s="235">
        <f t="shared" si="68"/>
      </c>
      <c r="E423" s="224">
        <f t="shared" si="69"/>
      </c>
      <c r="F423" s="224">
        <f t="shared" si="76"/>
      </c>
      <c r="G423" s="224">
        <f t="shared" si="77"/>
      </c>
      <c r="H423" s="224">
        <f t="shared" si="78"/>
      </c>
      <c r="I423" s="224">
        <f t="shared" si="70"/>
      </c>
      <c r="J423" s="227">
        <v>0</v>
      </c>
      <c r="K423" s="252"/>
      <c r="L423" s="253">
        <f t="shared" si="71"/>
      </c>
      <c r="M423" s="239">
        <f t="shared" si="72"/>
      </c>
    </row>
    <row r="424" spans="1:13" ht="12.75" hidden="1">
      <c r="A424" s="223">
        <f t="shared" si="73"/>
      </c>
      <c r="B424" s="224">
        <f t="shared" si="74"/>
      </c>
      <c r="C424" s="224">
        <f t="shared" si="75"/>
      </c>
      <c r="D424" s="235">
        <f t="shared" si="68"/>
      </c>
      <c r="E424" s="224">
        <f t="shared" si="69"/>
      </c>
      <c r="F424" s="224">
        <f t="shared" si="76"/>
      </c>
      <c r="G424" s="224">
        <f t="shared" si="77"/>
      </c>
      <c r="H424" s="224">
        <f t="shared" si="78"/>
      </c>
      <c r="I424" s="224">
        <f t="shared" si="70"/>
      </c>
      <c r="J424" s="227">
        <v>0</v>
      </c>
      <c r="K424" s="252"/>
      <c r="L424" s="253">
        <f t="shared" si="71"/>
      </c>
      <c r="M424" s="239">
        <f t="shared" si="72"/>
      </c>
    </row>
    <row r="425" spans="1:13" ht="12.75" hidden="1">
      <c r="A425" s="223">
        <f t="shared" si="73"/>
      </c>
      <c r="B425" s="224">
        <f t="shared" si="74"/>
      </c>
      <c r="C425" s="224">
        <f t="shared" si="75"/>
      </c>
      <c r="D425" s="235">
        <f t="shared" si="68"/>
      </c>
      <c r="E425" s="224">
        <f t="shared" si="69"/>
      </c>
      <c r="F425" s="224">
        <f t="shared" si="76"/>
      </c>
      <c r="G425" s="224">
        <f t="shared" si="77"/>
      </c>
      <c r="H425" s="224">
        <f t="shared" si="78"/>
      </c>
      <c r="I425" s="224">
        <f t="shared" si="70"/>
      </c>
      <c r="J425" s="227">
        <v>0</v>
      </c>
      <c r="K425" s="252"/>
      <c r="L425" s="253">
        <f t="shared" si="71"/>
      </c>
      <c r="M425" s="239">
        <f t="shared" si="72"/>
      </c>
    </row>
    <row r="426" spans="1:13" ht="12.75" hidden="1">
      <c r="A426" s="223">
        <f t="shared" si="73"/>
      </c>
      <c r="B426" s="224">
        <f t="shared" si="74"/>
      </c>
      <c r="C426" s="224">
        <f t="shared" si="75"/>
      </c>
      <c r="D426" s="235">
        <f t="shared" si="68"/>
      </c>
      <c r="E426" s="224">
        <f t="shared" si="69"/>
      </c>
      <c r="F426" s="224">
        <f t="shared" si="76"/>
      </c>
      <c r="G426" s="224">
        <f t="shared" si="77"/>
      </c>
      <c r="H426" s="224">
        <f t="shared" si="78"/>
      </c>
      <c r="I426" s="224">
        <f t="shared" si="70"/>
      </c>
      <c r="J426" s="227">
        <v>0</v>
      </c>
      <c r="K426" s="252"/>
      <c r="L426" s="253">
        <f t="shared" si="71"/>
      </c>
      <c r="M426" s="239">
        <f t="shared" si="72"/>
      </c>
    </row>
    <row r="427" spans="1:13" ht="12.75" hidden="1">
      <c r="A427" s="223">
        <f t="shared" si="73"/>
      </c>
      <c r="B427" s="224">
        <f t="shared" si="74"/>
      </c>
      <c r="C427" s="224">
        <f t="shared" si="75"/>
      </c>
      <c r="D427" s="235">
        <f t="shared" si="68"/>
      </c>
      <c r="E427" s="224">
        <f t="shared" si="69"/>
      </c>
      <c r="F427" s="224">
        <f t="shared" si="76"/>
      </c>
      <c r="G427" s="224">
        <f t="shared" si="77"/>
      </c>
      <c r="H427" s="224">
        <f t="shared" si="78"/>
      </c>
      <c r="I427" s="224">
        <f t="shared" si="70"/>
      </c>
      <c r="J427" s="227">
        <v>0</v>
      </c>
      <c r="K427" s="252"/>
      <c r="L427" s="253">
        <f t="shared" si="71"/>
      </c>
      <c r="M427" s="239">
        <f t="shared" si="72"/>
      </c>
    </row>
    <row r="428" spans="1:13" ht="12.75" hidden="1">
      <c r="A428" s="223">
        <f t="shared" si="73"/>
      </c>
      <c r="B428" s="224">
        <f t="shared" si="74"/>
      </c>
      <c r="C428" s="224">
        <f t="shared" si="75"/>
      </c>
      <c r="D428" s="235">
        <f t="shared" si="68"/>
      </c>
      <c r="E428" s="224">
        <f t="shared" si="69"/>
      </c>
      <c r="F428" s="224">
        <f t="shared" si="76"/>
      </c>
      <c r="G428" s="224">
        <f t="shared" si="77"/>
      </c>
      <c r="H428" s="224">
        <f t="shared" si="78"/>
      </c>
      <c r="I428" s="224">
        <f t="shared" si="70"/>
      </c>
      <c r="J428" s="227">
        <v>0</v>
      </c>
      <c r="K428" s="252"/>
      <c r="L428" s="253">
        <f t="shared" si="71"/>
      </c>
      <c r="M428" s="239">
        <f t="shared" si="72"/>
      </c>
    </row>
    <row r="429" spans="1:13" ht="12.75" hidden="1">
      <c r="A429" s="223">
        <f t="shared" si="73"/>
      </c>
      <c r="B429" s="224">
        <f t="shared" si="74"/>
      </c>
      <c r="C429" s="224">
        <f t="shared" si="75"/>
      </c>
      <c r="D429" s="235">
        <f t="shared" si="68"/>
      </c>
      <c r="E429" s="224">
        <f t="shared" si="69"/>
      </c>
      <c r="F429" s="224">
        <f t="shared" si="76"/>
      </c>
      <c r="G429" s="224">
        <f t="shared" si="77"/>
      </c>
      <c r="H429" s="224">
        <f t="shared" si="78"/>
      </c>
      <c r="I429" s="224">
        <f t="shared" si="70"/>
      </c>
      <c r="J429" s="227">
        <v>0</v>
      </c>
      <c r="K429" s="252"/>
      <c r="L429" s="253">
        <f t="shared" si="71"/>
      </c>
      <c r="M429" s="239">
        <f t="shared" si="72"/>
      </c>
    </row>
    <row r="430" spans="1:13" ht="12.75" hidden="1">
      <c r="A430" s="223">
        <f t="shared" si="73"/>
      </c>
      <c r="B430" s="224">
        <f t="shared" si="74"/>
      </c>
      <c r="C430" s="224">
        <f t="shared" si="75"/>
      </c>
      <c r="D430" s="235">
        <f t="shared" si="68"/>
      </c>
      <c r="E430" s="224">
        <f t="shared" si="69"/>
      </c>
      <c r="F430" s="224">
        <f t="shared" si="76"/>
      </c>
      <c r="G430" s="224">
        <f t="shared" si="77"/>
      </c>
      <c r="H430" s="224">
        <f t="shared" si="78"/>
      </c>
      <c r="I430" s="224">
        <f t="shared" si="70"/>
      </c>
      <c r="J430" s="227">
        <v>0</v>
      </c>
      <c r="K430" s="252"/>
      <c r="L430" s="253">
        <f t="shared" si="71"/>
      </c>
      <c r="M430" s="239">
        <f t="shared" si="72"/>
      </c>
    </row>
    <row r="431" spans="1:13" ht="12.75" hidden="1">
      <c r="A431" s="223">
        <f t="shared" si="73"/>
      </c>
      <c r="B431" s="224">
        <f t="shared" si="74"/>
      </c>
      <c r="C431" s="224">
        <f t="shared" si="75"/>
      </c>
      <c r="D431" s="235">
        <f t="shared" si="68"/>
      </c>
      <c r="E431" s="224">
        <f t="shared" si="69"/>
      </c>
      <c r="F431" s="224">
        <f t="shared" si="76"/>
      </c>
      <c r="G431" s="224">
        <f t="shared" si="77"/>
      </c>
      <c r="H431" s="224">
        <f t="shared" si="78"/>
      </c>
      <c r="I431" s="224">
        <f t="shared" si="70"/>
      </c>
      <c r="J431" s="227">
        <v>0</v>
      </c>
      <c r="K431" s="252"/>
      <c r="L431" s="253">
        <f t="shared" si="71"/>
      </c>
      <c r="M431" s="239">
        <f t="shared" si="72"/>
      </c>
    </row>
    <row r="432" spans="1:13" ht="12.75" hidden="1">
      <c r="A432" s="223">
        <f t="shared" si="73"/>
      </c>
      <c r="B432" s="224">
        <f t="shared" si="74"/>
      </c>
      <c r="C432" s="224">
        <f t="shared" si="75"/>
      </c>
      <c r="D432" s="235">
        <f t="shared" si="68"/>
      </c>
      <c r="E432" s="224">
        <f t="shared" si="69"/>
      </c>
      <c r="F432" s="224">
        <f t="shared" si="76"/>
      </c>
      <c r="G432" s="224">
        <f t="shared" si="77"/>
      </c>
      <c r="H432" s="224">
        <f t="shared" si="78"/>
      </c>
      <c r="I432" s="224">
        <f t="shared" si="70"/>
      </c>
      <c r="J432" s="227">
        <v>0</v>
      </c>
      <c r="K432" s="252"/>
      <c r="L432" s="253">
        <f t="shared" si="71"/>
      </c>
      <c r="M432" s="239">
        <f t="shared" si="72"/>
      </c>
    </row>
    <row r="433" spans="1:13" ht="12.75" hidden="1">
      <c r="A433" s="223">
        <f t="shared" si="73"/>
      </c>
      <c r="B433" s="224">
        <f t="shared" si="74"/>
      </c>
      <c r="C433" s="224">
        <f t="shared" si="75"/>
      </c>
      <c r="D433" s="235">
        <f t="shared" si="68"/>
      </c>
      <c r="E433" s="224">
        <f t="shared" si="69"/>
      </c>
      <c r="F433" s="224">
        <f t="shared" si="76"/>
      </c>
      <c r="G433" s="224">
        <f t="shared" si="77"/>
      </c>
      <c r="H433" s="224">
        <f t="shared" si="78"/>
      </c>
      <c r="I433" s="224">
        <f t="shared" si="70"/>
      </c>
      <c r="J433" s="227">
        <v>0</v>
      </c>
      <c r="K433" s="252"/>
      <c r="L433" s="253">
        <f t="shared" si="71"/>
      </c>
      <c r="M433" s="239">
        <f t="shared" si="72"/>
      </c>
    </row>
    <row r="434" spans="1:13" ht="12.75" hidden="1">
      <c r="A434" s="223">
        <f t="shared" si="73"/>
      </c>
      <c r="B434" s="224">
        <f t="shared" si="74"/>
      </c>
      <c r="C434" s="224">
        <f t="shared" si="75"/>
      </c>
      <c r="D434" s="235">
        <f t="shared" si="68"/>
      </c>
      <c r="E434" s="224">
        <f t="shared" si="69"/>
      </c>
      <c r="F434" s="224">
        <f t="shared" si="76"/>
      </c>
      <c r="G434" s="224">
        <f t="shared" si="77"/>
      </c>
      <c r="H434" s="224">
        <f t="shared" si="78"/>
      </c>
      <c r="I434" s="224">
        <f t="shared" si="70"/>
      </c>
      <c r="J434" s="227">
        <v>0</v>
      </c>
      <c r="K434" s="252"/>
      <c r="L434" s="253">
        <f t="shared" si="71"/>
      </c>
      <c r="M434" s="239">
        <f t="shared" si="72"/>
      </c>
    </row>
    <row r="435" spans="1:13" ht="12.75" hidden="1">
      <c r="A435" s="223">
        <f t="shared" si="73"/>
      </c>
      <c r="B435" s="224">
        <f t="shared" si="74"/>
      </c>
      <c r="C435" s="224">
        <f t="shared" si="75"/>
      </c>
      <c r="D435" s="235">
        <f t="shared" si="68"/>
      </c>
      <c r="E435" s="224">
        <f t="shared" si="69"/>
      </c>
      <c r="F435" s="224">
        <f t="shared" si="76"/>
      </c>
      <c r="G435" s="224">
        <f t="shared" si="77"/>
      </c>
      <c r="H435" s="224">
        <f t="shared" si="78"/>
      </c>
      <c r="I435" s="224">
        <f t="shared" si="70"/>
      </c>
      <c r="J435" s="227">
        <v>0</v>
      </c>
      <c r="K435" s="252"/>
      <c r="L435" s="253">
        <f t="shared" si="71"/>
      </c>
      <c r="M435" s="239">
        <f t="shared" si="72"/>
      </c>
    </row>
    <row r="436" spans="1:13" ht="12.75" hidden="1">
      <c r="A436" s="223">
        <f t="shared" si="73"/>
      </c>
      <c r="B436" s="224">
        <f t="shared" si="74"/>
      </c>
      <c r="C436" s="224">
        <f t="shared" si="75"/>
      </c>
      <c r="D436" s="235">
        <f t="shared" si="68"/>
      </c>
      <c r="E436" s="224">
        <f t="shared" si="69"/>
      </c>
      <c r="F436" s="224">
        <f t="shared" si="76"/>
      </c>
      <c r="G436" s="224">
        <f t="shared" si="77"/>
      </c>
      <c r="H436" s="224">
        <f t="shared" si="78"/>
      </c>
      <c r="I436" s="224">
        <f t="shared" si="70"/>
      </c>
      <c r="J436" s="227">
        <v>0</v>
      </c>
      <c r="K436" s="252"/>
      <c r="L436" s="253">
        <f t="shared" si="71"/>
      </c>
      <c r="M436" s="239">
        <f t="shared" si="72"/>
      </c>
    </row>
    <row r="437" spans="1:13" ht="12.75" hidden="1">
      <c r="A437" s="223">
        <f t="shared" si="73"/>
      </c>
      <c r="B437" s="224">
        <f t="shared" si="74"/>
      </c>
      <c r="C437" s="224">
        <f t="shared" si="75"/>
      </c>
      <c r="D437" s="235">
        <f t="shared" si="68"/>
      </c>
      <c r="E437" s="224">
        <f t="shared" si="69"/>
      </c>
      <c r="F437" s="224">
        <f t="shared" si="76"/>
      </c>
      <c r="G437" s="224">
        <f t="shared" si="77"/>
      </c>
      <c r="H437" s="224">
        <f t="shared" si="78"/>
      </c>
      <c r="I437" s="224">
        <f t="shared" si="70"/>
      </c>
      <c r="J437" s="227">
        <v>0</v>
      </c>
      <c r="K437" s="252"/>
      <c r="L437" s="253">
        <f t="shared" si="71"/>
      </c>
      <c r="M437" s="239">
        <f t="shared" si="72"/>
      </c>
    </row>
    <row r="438" spans="1:13" ht="12.75" hidden="1">
      <c r="A438" s="223">
        <f t="shared" si="73"/>
      </c>
      <c r="B438" s="224">
        <f t="shared" si="74"/>
      </c>
      <c r="C438" s="224">
        <f t="shared" si="75"/>
      </c>
      <c r="D438" s="235">
        <f t="shared" si="68"/>
      </c>
      <c r="E438" s="224">
        <f t="shared" si="69"/>
      </c>
      <c r="F438" s="224">
        <f t="shared" si="76"/>
      </c>
      <c r="G438" s="224">
        <f t="shared" si="77"/>
      </c>
      <c r="H438" s="224">
        <f t="shared" si="78"/>
      </c>
      <c r="I438" s="224">
        <f t="shared" si="70"/>
      </c>
      <c r="J438" s="227">
        <v>0</v>
      </c>
      <c r="K438" s="252"/>
      <c r="L438" s="253">
        <f t="shared" si="71"/>
      </c>
      <c r="M438" s="239">
        <f t="shared" si="72"/>
      </c>
    </row>
    <row r="439" spans="1:13" ht="12.75" hidden="1">
      <c r="A439" s="223">
        <f t="shared" si="73"/>
      </c>
      <c r="B439" s="224">
        <f t="shared" si="74"/>
      </c>
      <c r="C439" s="224">
        <f t="shared" si="75"/>
      </c>
      <c r="D439" s="235">
        <f t="shared" si="68"/>
      </c>
      <c r="E439" s="224">
        <f t="shared" si="69"/>
      </c>
      <c r="F439" s="224">
        <f t="shared" si="76"/>
      </c>
      <c r="G439" s="224">
        <f t="shared" si="77"/>
      </c>
      <c r="H439" s="224">
        <f t="shared" si="78"/>
      </c>
      <c r="I439" s="224">
        <f t="shared" si="70"/>
      </c>
      <c r="J439" s="227">
        <v>0</v>
      </c>
      <c r="K439" s="252"/>
      <c r="L439" s="253">
        <f t="shared" si="71"/>
      </c>
      <c r="M439" s="239">
        <f t="shared" si="72"/>
      </c>
    </row>
    <row r="440" spans="1:13" ht="12.75" hidden="1">
      <c r="A440" s="223">
        <f t="shared" si="73"/>
      </c>
      <c r="B440" s="224">
        <f t="shared" si="74"/>
      </c>
      <c r="C440" s="224">
        <f t="shared" si="75"/>
      </c>
      <c r="D440" s="235">
        <f t="shared" si="68"/>
      </c>
      <c r="E440" s="224">
        <f t="shared" si="69"/>
      </c>
      <c r="F440" s="224">
        <f t="shared" si="76"/>
      </c>
      <c r="G440" s="224">
        <f t="shared" si="77"/>
      </c>
      <c r="H440" s="224">
        <f t="shared" si="78"/>
      </c>
      <c r="I440" s="224">
        <f t="shared" si="70"/>
      </c>
      <c r="J440" s="227">
        <v>0</v>
      </c>
      <c r="K440" s="252"/>
      <c r="L440" s="253">
        <f t="shared" si="71"/>
      </c>
      <c r="M440" s="239">
        <f t="shared" si="72"/>
      </c>
    </row>
    <row r="441" spans="1:13" ht="12.75" hidden="1">
      <c r="A441" s="223">
        <f t="shared" si="73"/>
      </c>
      <c r="B441" s="224">
        <f t="shared" si="74"/>
      </c>
      <c r="C441" s="224">
        <f t="shared" si="75"/>
      </c>
      <c r="D441" s="235">
        <f aca="true" t="shared" si="79" ref="D441:D504">IF(A441="","",(B441*($C$17))/12)</f>
      </c>
      <c r="E441" s="224">
        <f aca="true" t="shared" si="80" ref="E441:E504">IF(B441&lt;(IF(A441="","",IF($J$52=2,$G$12,PMT($C$17/12,$C$18-A440,-B441,0,0)))),B441+D441,IF(A441="","",IF($J$52=2,$G$12,PMT($C$17/12,$C$18-A440,-B441,0,0))))</f>
      </c>
      <c r="F441" s="224">
        <f t="shared" si="76"/>
      </c>
      <c r="G441" s="224">
        <f t="shared" si="77"/>
      </c>
      <c r="H441" s="224">
        <f t="shared" si="78"/>
      </c>
      <c r="I441" s="224">
        <f aca="true" t="shared" si="81" ref="I441:I504">IF(A441="","",E441+F441+G441+H441)</f>
      </c>
      <c r="J441" s="227">
        <v>0</v>
      </c>
      <c r="K441" s="252"/>
      <c r="L441" s="253">
        <f aca="true" t="shared" si="82" ref="L441:L504">IF(A441="","",B441-C441-J441-K441)</f>
      </c>
      <c r="M441" s="239">
        <f aca="true" t="shared" si="83" ref="M441:M504">IF(A441="","",G441+F441)</f>
      </c>
    </row>
    <row r="442" spans="1:13" ht="12.75" hidden="1">
      <c r="A442" s="223">
        <f aca="true" t="shared" si="84" ref="A442:A505">IF(A441="","",IF((B441-C441)&lt;0.01,"",A441+1))</f>
      </c>
      <c r="B442" s="224">
        <f aca="true" t="shared" si="85" ref="B442:B505">IF(A442="","",(B441-C441-J441-K441))</f>
      </c>
      <c r="C442" s="224">
        <f aca="true" t="shared" si="86" ref="C442:C505">IF(A442="","",E442-D442)</f>
      </c>
      <c r="D442" s="235">
        <f t="shared" si="79"/>
      </c>
      <c r="E442" s="224">
        <f t="shared" si="80"/>
      </c>
      <c r="F442" s="224">
        <f aca="true" t="shared" si="87" ref="F442:F505">IF(A442="","",F441)</f>
      </c>
      <c r="G442" s="224">
        <f aca="true" t="shared" si="88" ref="G442:G505">IF(A442="","",G441)</f>
      </c>
      <c r="H442" s="224">
        <f aca="true" t="shared" si="89" ref="H442:H505">IF(A442="","",H441)</f>
      </c>
      <c r="I442" s="224">
        <f t="shared" si="81"/>
      </c>
      <c r="J442" s="227">
        <v>0</v>
      </c>
      <c r="K442" s="252"/>
      <c r="L442" s="253">
        <f t="shared" si="82"/>
      </c>
      <c r="M442" s="239">
        <f t="shared" si="83"/>
      </c>
    </row>
    <row r="443" spans="1:13" ht="12.75" hidden="1">
      <c r="A443" s="223">
        <f t="shared" si="84"/>
      </c>
      <c r="B443" s="224">
        <f t="shared" si="85"/>
      </c>
      <c r="C443" s="224">
        <f t="shared" si="86"/>
      </c>
      <c r="D443" s="235">
        <f t="shared" si="79"/>
      </c>
      <c r="E443" s="224">
        <f t="shared" si="80"/>
      </c>
      <c r="F443" s="224">
        <f t="shared" si="87"/>
      </c>
      <c r="G443" s="224">
        <f t="shared" si="88"/>
      </c>
      <c r="H443" s="224">
        <f t="shared" si="89"/>
      </c>
      <c r="I443" s="224">
        <f t="shared" si="81"/>
      </c>
      <c r="J443" s="227">
        <v>0</v>
      </c>
      <c r="K443" s="252"/>
      <c r="L443" s="253">
        <f t="shared" si="82"/>
      </c>
      <c r="M443" s="239">
        <f t="shared" si="83"/>
      </c>
    </row>
    <row r="444" spans="1:13" ht="12.75" hidden="1">
      <c r="A444" s="223">
        <f t="shared" si="84"/>
      </c>
      <c r="B444" s="224">
        <f t="shared" si="85"/>
      </c>
      <c r="C444" s="224">
        <f t="shared" si="86"/>
      </c>
      <c r="D444" s="235">
        <f t="shared" si="79"/>
      </c>
      <c r="E444" s="224">
        <f t="shared" si="80"/>
      </c>
      <c r="F444" s="224">
        <f t="shared" si="87"/>
      </c>
      <c r="G444" s="224">
        <f t="shared" si="88"/>
      </c>
      <c r="H444" s="224">
        <f t="shared" si="89"/>
      </c>
      <c r="I444" s="224">
        <f t="shared" si="81"/>
      </c>
      <c r="J444" s="227">
        <v>0</v>
      </c>
      <c r="K444" s="252"/>
      <c r="L444" s="253">
        <f t="shared" si="82"/>
      </c>
      <c r="M444" s="239">
        <f t="shared" si="83"/>
      </c>
    </row>
    <row r="445" spans="1:13" ht="12.75" hidden="1">
      <c r="A445" s="223">
        <f t="shared" si="84"/>
      </c>
      <c r="B445" s="224">
        <f t="shared" si="85"/>
      </c>
      <c r="C445" s="224">
        <f t="shared" si="86"/>
      </c>
      <c r="D445" s="235">
        <f t="shared" si="79"/>
      </c>
      <c r="E445" s="224">
        <f t="shared" si="80"/>
      </c>
      <c r="F445" s="224">
        <f t="shared" si="87"/>
      </c>
      <c r="G445" s="224">
        <f t="shared" si="88"/>
      </c>
      <c r="H445" s="224">
        <f t="shared" si="89"/>
      </c>
      <c r="I445" s="224">
        <f t="shared" si="81"/>
      </c>
      <c r="J445" s="227">
        <v>0</v>
      </c>
      <c r="K445" s="252"/>
      <c r="L445" s="253">
        <f t="shared" si="82"/>
      </c>
      <c r="M445" s="239">
        <f t="shared" si="83"/>
      </c>
    </row>
    <row r="446" spans="1:13" ht="12.75" hidden="1">
      <c r="A446" s="223">
        <f t="shared" si="84"/>
      </c>
      <c r="B446" s="224">
        <f t="shared" si="85"/>
      </c>
      <c r="C446" s="224">
        <f t="shared" si="86"/>
      </c>
      <c r="D446" s="235">
        <f t="shared" si="79"/>
      </c>
      <c r="E446" s="224">
        <f t="shared" si="80"/>
      </c>
      <c r="F446" s="224">
        <f t="shared" si="87"/>
      </c>
      <c r="G446" s="224">
        <f t="shared" si="88"/>
      </c>
      <c r="H446" s="224">
        <f t="shared" si="89"/>
      </c>
      <c r="I446" s="224">
        <f t="shared" si="81"/>
      </c>
      <c r="J446" s="227">
        <v>0</v>
      </c>
      <c r="K446" s="252"/>
      <c r="L446" s="253">
        <f t="shared" si="82"/>
      </c>
      <c r="M446" s="239">
        <f t="shared" si="83"/>
      </c>
    </row>
    <row r="447" spans="1:13" ht="12.75" hidden="1">
      <c r="A447" s="223">
        <f t="shared" si="84"/>
      </c>
      <c r="B447" s="224">
        <f t="shared" si="85"/>
      </c>
      <c r="C447" s="224">
        <f t="shared" si="86"/>
      </c>
      <c r="D447" s="235">
        <f t="shared" si="79"/>
      </c>
      <c r="E447" s="224">
        <f t="shared" si="80"/>
      </c>
      <c r="F447" s="224">
        <f t="shared" si="87"/>
      </c>
      <c r="G447" s="224">
        <f t="shared" si="88"/>
      </c>
      <c r="H447" s="224">
        <f t="shared" si="89"/>
      </c>
      <c r="I447" s="224">
        <f t="shared" si="81"/>
      </c>
      <c r="J447" s="227">
        <v>0</v>
      </c>
      <c r="K447" s="252"/>
      <c r="L447" s="253">
        <f t="shared" si="82"/>
      </c>
      <c r="M447" s="239">
        <f t="shared" si="83"/>
      </c>
    </row>
    <row r="448" spans="1:13" ht="12.75" hidden="1">
      <c r="A448" s="223">
        <f t="shared" si="84"/>
      </c>
      <c r="B448" s="224">
        <f t="shared" si="85"/>
      </c>
      <c r="C448" s="224">
        <f t="shared" si="86"/>
      </c>
      <c r="D448" s="235">
        <f t="shared" si="79"/>
      </c>
      <c r="E448" s="224">
        <f t="shared" si="80"/>
      </c>
      <c r="F448" s="224">
        <f t="shared" si="87"/>
      </c>
      <c r="G448" s="224">
        <f t="shared" si="88"/>
      </c>
      <c r="H448" s="224">
        <f t="shared" si="89"/>
      </c>
      <c r="I448" s="224">
        <f t="shared" si="81"/>
      </c>
      <c r="J448" s="227">
        <v>0</v>
      </c>
      <c r="K448" s="252"/>
      <c r="L448" s="253">
        <f t="shared" si="82"/>
      </c>
      <c r="M448" s="239">
        <f t="shared" si="83"/>
      </c>
    </row>
    <row r="449" spans="1:13" ht="12.75" hidden="1">
      <c r="A449" s="223">
        <f t="shared" si="84"/>
      </c>
      <c r="B449" s="224">
        <f t="shared" si="85"/>
      </c>
      <c r="C449" s="224">
        <f t="shared" si="86"/>
      </c>
      <c r="D449" s="235">
        <f t="shared" si="79"/>
      </c>
      <c r="E449" s="224">
        <f t="shared" si="80"/>
      </c>
      <c r="F449" s="224">
        <f t="shared" si="87"/>
      </c>
      <c r="G449" s="224">
        <f t="shared" si="88"/>
      </c>
      <c r="H449" s="224">
        <f t="shared" si="89"/>
      </c>
      <c r="I449" s="224">
        <f t="shared" si="81"/>
      </c>
      <c r="J449" s="227">
        <v>0</v>
      </c>
      <c r="K449" s="252"/>
      <c r="L449" s="253">
        <f t="shared" si="82"/>
      </c>
      <c r="M449" s="239">
        <f t="shared" si="83"/>
      </c>
    </row>
    <row r="450" spans="1:13" ht="12.75" hidden="1">
      <c r="A450" s="223">
        <f t="shared" si="84"/>
      </c>
      <c r="B450" s="224">
        <f t="shared" si="85"/>
      </c>
      <c r="C450" s="224">
        <f t="shared" si="86"/>
      </c>
      <c r="D450" s="235">
        <f t="shared" si="79"/>
      </c>
      <c r="E450" s="224">
        <f t="shared" si="80"/>
      </c>
      <c r="F450" s="224">
        <f t="shared" si="87"/>
      </c>
      <c r="G450" s="224">
        <f t="shared" si="88"/>
      </c>
      <c r="H450" s="224">
        <f t="shared" si="89"/>
      </c>
      <c r="I450" s="224">
        <f t="shared" si="81"/>
      </c>
      <c r="J450" s="227">
        <v>0</v>
      </c>
      <c r="K450" s="252"/>
      <c r="L450" s="253">
        <f t="shared" si="82"/>
      </c>
      <c r="M450" s="239">
        <f t="shared" si="83"/>
      </c>
    </row>
    <row r="451" spans="1:13" ht="12.75" hidden="1">
      <c r="A451" s="223">
        <f t="shared" si="84"/>
      </c>
      <c r="B451" s="224">
        <f t="shared" si="85"/>
      </c>
      <c r="C451" s="224">
        <f t="shared" si="86"/>
      </c>
      <c r="D451" s="235">
        <f t="shared" si="79"/>
      </c>
      <c r="E451" s="224">
        <f t="shared" si="80"/>
      </c>
      <c r="F451" s="224">
        <f t="shared" si="87"/>
      </c>
      <c r="G451" s="224">
        <f t="shared" si="88"/>
      </c>
      <c r="H451" s="224">
        <f t="shared" si="89"/>
      </c>
      <c r="I451" s="224">
        <f t="shared" si="81"/>
      </c>
      <c r="J451" s="227">
        <v>0</v>
      </c>
      <c r="K451" s="252"/>
      <c r="L451" s="253">
        <f t="shared" si="82"/>
      </c>
      <c r="M451" s="239">
        <f t="shared" si="83"/>
      </c>
    </row>
    <row r="452" spans="1:13" ht="12.75" hidden="1">
      <c r="A452" s="223">
        <f t="shared" si="84"/>
      </c>
      <c r="B452" s="224">
        <f t="shared" si="85"/>
      </c>
      <c r="C452" s="224">
        <f t="shared" si="86"/>
      </c>
      <c r="D452" s="235">
        <f t="shared" si="79"/>
      </c>
      <c r="E452" s="224">
        <f t="shared" si="80"/>
      </c>
      <c r="F452" s="224">
        <f t="shared" si="87"/>
      </c>
      <c r="G452" s="224">
        <f t="shared" si="88"/>
      </c>
      <c r="H452" s="224">
        <f t="shared" si="89"/>
      </c>
      <c r="I452" s="224">
        <f t="shared" si="81"/>
      </c>
      <c r="J452" s="227">
        <v>0</v>
      </c>
      <c r="K452" s="252"/>
      <c r="L452" s="253">
        <f t="shared" si="82"/>
      </c>
      <c r="M452" s="239">
        <f t="shared" si="83"/>
      </c>
    </row>
    <row r="453" spans="1:13" ht="12.75" hidden="1">
      <c r="A453" s="223">
        <f t="shared" si="84"/>
      </c>
      <c r="B453" s="224">
        <f t="shared" si="85"/>
      </c>
      <c r="C453" s="224">
        <f t="shared" si="86"/>
      </c>
      <c r="D453" s="235">
        <f t="shared" si="79"/>
      </c>
      <c r="E453" s="224">
        <f t="shared" si="80"/>
      </c>
      <c r="F453" s="224">
        <f t="shared" si="87"/>
      </c>
      <c r="G453" s="224">
        <f t="shared" si="88"/>
      </c>
      <c r="H453" s="224">
        <f t="shared" si="89"/>
      </c>
      <c r="I453" s="224">
        <f t="shared" si="81"/>
      </c>
      <c r="J453" s="227">
        <v>0</v>
      </c>
      <c r="K453" s="252"/>
      <c r="L453" s="253">
        <f t="shared" si="82"/>
      </c>
      <c r="M453" s="239">
        <f t="shared" si="83"/>
      </c>
    </row>
    <row r="454" spans="1:13" ht="12.75" hidden="1">
      <c r="A454" s="223">
        <f t="shared" si="84"/>
      </c>
      <c r="B454" s="224">
        <f t="shared" si="85"/>
      </c>
      <c r="C454" s="224">
        <f t="shared" si="86"/>
      </c>
      <c r="D454" s="235">
        <f t="shared" si="79"/>
      </c>
      <c r="E454" s="224">
        <f t="shared" si="80"/>
      </c>
      <c r="F454" s="224">
        <f t="shared" si="87"/>
      </c>
      <c r="G454" s="224">
        <f t="shared" si="88"/>
      </c>
      <c r="H454" s="224">
        <f t="shared" si="89"/>
      </c>
      <c r="I454" s="224">
        <f t="shared" si="81"/>
      </c>
      <c r="J454" s="227">
        <v>0</v>
      </c>
      <c r="K454" s="252"/>
      <c r="L454" s="253">
        <f t="shared" si="82"/>
      </c>
      <c r="M454" s="239">
        <f t="shared" si="83"/>
      </c>
    </row>
    <row r="455" spans="1:13" ht="12.75" hidden="1">
      <c r="A455" s="223">
        <f t="shared" si="84"/>
      </c>
      <c r="B455" s="224">
        <f t="shared" si="85"/>
      </c>
      <c r="C455" s="224">
        <f t="shared" si="86"/>
      </c>
      <c r="D455" s="235">
        <f t="shared" si="79"/>
      </c>
      <c r="E455" s="224">
        <f t="shared" si="80"/>
      </c>
      <c r="F455" s="224">
        <f t="shared" si="87"/>
      </c>
      <c r="G455" s="224">
        <f t="shared" si="88"/>
      </c>
      <c r="H455" s="224">
        <f t="shared" si="89"/>
      </c>
      <c r="I455" s="224">
        <f t="shared" si="81"/>
      </c>
      <c r="J455" s="227">
        <v>0</v>
      </c>
      <c r="K455" s="252"/>
      <c r="L455" s="253">
        <f t="shared" si="82"/>
      </c>
      <c r="M455" s="239">
        <f t="shared" si="83"/>
      </c>
    </row>
    <row r="456" spans="1:13" ht="12.75" hidden="1">
      <c r="A456" s="223">
        <f t="shared" si="84"/>
      </c>
      <c r="B456" s="224">
        <f t="shared" si="85"/>
      </c>
      <c r="C456" s="224">
        <f t="shared" si="86"/>
      </c>
      <c r="D456" s="235">
        <f t="shared" si="79"/>
      </c>
      <c r="E456" s="224">
        <f t="shared" si="80"/>
      </c>
      <c r="F456" s="224">
        <f t="shared" si="87"/>
      </c>
      <c r="G456" s="224">
        <f t="shared" si="88"/>
      </c>
      <c r="H456" s="224">
        <f t="shared" si="89"/>
      </c>
      <c r="I456" s="224">
        <f t="shared" si="81"/>
      </c>
      <c r="J456" s="227">
        <v>0</v>
      </c>
      <c r="K456" s="252"/>
      <c r="L456" s="253">
        <f t="shared" si="82"/>
      </c>
      <c r="M456" s="239">
        <f t="shared" si="83"/>
      </c>
    </row>
    <row r="457" spans="1:13" ht="12.75" hidden="1">
      <c r="A457" s="223">
        <f t="shared" si="84"/>
      </c>
      <c r="B457" s="224">
        <f t="shared" si="85"/>
      </c>
      <c r="C457" s="224">
        <f t="shared" si="86"/>
      </c>
      <c r="D457" s="235">
        <f t="shared" si="79"/>
      </c>
      <c r="E457" s="224">
        <f t="shared" si="80"/>
      </c>
      <c r="F457" s="224">
        <f t="shared" si="87"/>
      </c>
      <c r="G457" s="224">
        <f t="shared" si="88"/>
      </c>
      <c r="H457" s="224">
        <f t="shared" si="89"/>
      </c>
      <c r="I457" s="224">
        <f t="shared" si="81"/>
      </c>
      <c r="J457" s="227">
        <v>0</v>
      </c>
      <c r="K457" s="252"/>
      <c r="L457" s="253">
        <f t="shared" si="82"/>
      </c>
      <c r="M457" s="239">
        <f t="shared" si="83"/>
      </c>
    </row>
    <row r="458" spans="1:13" ht="12.75" hidden="1">
      <c r="A458" s="223">
        <f t="shared" si="84"/>
      </c>
      <c r="B458" s="224">
        <f t="shared" si="85"/>
      </c>
      <c r="C458" s="224">
        <f t="shared" si="86"/>
      </c>
      <c r="D458" s="235">
        <f t="shared" si="79"/>
      </c>
      <c r="E458" s="224">
        <f t="shared" si="80"/>
      </c>
      <c r="F458" s="224">
        <f t="shared" si="87"/>
      </c>
      <c r="G458" s="224">
        <f t="shared" si="88"/>
      </c>
      <c r="H458" s="224">
        <f t="shared" si="89"/>
      </c>
      <c r="I458" s="224">
        <f t="shared" si="81"/>
      </c>
      <c r="J458" s="227">
        <v>0</v>
      </c>
      <c r="K458" s="252"/>
      <c r="L458" s="253">
        <f t="shared" si="82"/>
      </c>
      <c r="M458" s="239">
        <f t="shared" si="83"/>
      </c>
    </row>
    <row r="459" spans="1:13" ht="12.75" hidden="1">
      <c r="A459" s="223">
        <f t="shared" si="84"/>
      </c>
      <c r="B459" s="224">
        <f t="shared" si="85"/>
      </c>
      <c r="C459" s="224">
        <f t="shared" si="86"/>
      </c>
      <c r="D459" s="235">
        <f t="shared" si="79"/>
      </c>
      <c r="E459" s="224">
        <f t="shared" si="80"/>
      </c>
      <c r="F459" s="224">
        <f t="shared" si="87"/>
      </c>
      <c r="G459" s="224">
        <f t="shared" si="88"/>
      </c>
      <c r="H459" s="224">
        <f t="shared" si="89"/>
      </c>
      <c r="I459" s="224">
        <f t="shared" si="81"/>
      </c>
      <c r="J459" s="227">
        <v>0</v>
      </c>
      <c r="K459" s="252"/>
      <c r="L459" s="253">
        <f t="shared" si="82"/>
      </c>
      <c r="M459" s="239">
        <f t="shared" si="83"/>
      </c>
    </row>
    <row r="460" spans="1:13" ht="12.75" hidden="1">
      <c r="A460" s="223">
        <f t="shared" si="84"/>
      </c>
      <c r="B460" s="224">
        <f t="shared" si="85"/>
      </c>
      <c r="C460" s="224">
        <f t="shared" si="86"/>
      </c>
      <c r="D460" s="235">
        <f t="shared" si="79"/>
      </c>
      <c r="E460" s="224">
        <f t="shared" si="80"/>
      </c>
      <c r="F460" s="224">
        <f t="shared" si="87"/>
      </c>
      <c r="G460" s="224">
        <f t="shared" si="88"/>
      </c>
      <c r="H460" s="224">
        <f t="shared" si="89"/>
      </c>
      <c r="I460" s="224">
        <f t="shared" si="81"/>
      </c>
      <c r="J460" s="227">
        <v>0</v>
      </c>
      <c r="K460" s="252"/>
      <c r="L460" s="253">
        <f t="shared" si="82"/>
      </c>
      <c r="M460" s="239">
        <f t="shared" si="83"/>
      </c>
    </row>
    <row r="461" spans="1:13" ht="12.75" hidden="1">
      <c r="A461" s="223">
        <f t="shared" si="84"/>
      </c>
      <c r="B461" s="224">
        <f t="shared" si="85"/>
      </c>
      <c r="C461" s="224">
        <f t="shared" si="86"/>
      </c>
      <c r="D461" s="235">
        <f t="shared" si="79"/>
      </c>
      <c r="E461" s="224">
        <f t="shared" si="80"/>
      </c>
      <c r="F461" s="224">
        <f t="shared" si="87"/>
      </c>
      <c r="G461" s="224">
        <f t="shared" si="88"/>
      </c>
      <c r="H461" s="224">
        <f t="shared" si="89"/>
      </c>
      <c r="I461" s="224">
        <f t="shared" si="81"/>
      </c>
      <c r="J461" s="227">
        <v>0</v>
      </c>
      <c r="K461" s="252"/>
      <c r="L461" s="253">
        <f t="shared" si="82"/>
      </c>
      <c r="M461" s="239">
        <f t="shared" si="83"/>
      </c>
    </row>
    <row r="462" spans="1:13" ht="12.75" hidden="1">
      <c r="A462" s="223">
        <f t="shared" si="84"/>
      </c>
      <c r="B462" s="224">
        <f t="shared" si="85"/>
      </c>
      <c r="C462" s="224">
        <f t="shared" si="86"/>
      </c>
      <c r="D462" s="235">
        <f t="shared" si="79"/>
      </c>
      <c r="E462" s="224">
        <f t="shared" si="80"/>
      </c>
      <c r="F462" s="224">
        <f t="shared" si="87"/>
      </c>
      <c r="G462" s="224">
        <f t="shared" si="88"/>
      </c>
      <c r="H462" s="224">
        <f t="shared" si="89"/>
      </c>
      <c r="I462" s="224">
        <f t="shared" si="81"/>
      </c>
      <c r="J462" s="227">
        <v>0</v>
      </c>
      <c r="K462" s="252"/>
      <c r="L462" s="253">
        <f t="shared" si="82"/>
      </c>
      <c r="M462" s="239">
        <f t="shared" si="83"/>
      </c>
    </row>
    <row r="463" spans="1:13" ht="12.75" hidden="1">
      <c r="A463" s="223">
        <f t="shared" si="84"/>
      </c>
      <c r="B463" s="224">
        <f t="shared" si="85"/>
      </c>
      <c r="C463" s="224">
        <f t="shared" si="86"/>
      </c>
      <c r="D463" s="235">
        <f t="shared" si="79"/>
      </c>
      <c r="E463" s="224">
        <f t="shared" si="80"/>
      </c>
      <c r="F463" s="224">
        <f t="shared" si="87"/>
      </c>
      <c r="G463" s="224">
        <f t="shared" si="88"/>
      </c>
      <c r="H463" s="224">
        <f t="shared" si="89"/>
      </c>
      <c r="I463" s="224">
        <f t="shared" si="81"/>
      </c>
      <c r="J463" s="227">
        <v>0</v>
      </c>
      <c r="K463" s="252"/>
      <c r="L463" s="253">
        <f t="shared" si="82"/>
      </c>
      <c r="M463" s="239">
        <f t="shared" si="83"/>
      </c>
    </row>
    <row r="464" spans="1:13" ht="12.75" hidden="1">
      <c r="A464" s="223">
        <f t="shared" si="84"/>
      </c>
      <c r="B464" s="224">
        <f t="shared" si="85"/>
      </c>
      <c r="C464" s="224">
        <f t="shared" si="86"/>
      </c>
      <c r="D464" s="235">
        <f t="shared" si="79"/>
      </c>
      <c r="E464" s="224">
        <f t="shared" si="80"/>
      </c>
      <c r="F464" s="224">
        <f t="shared" si="87"/>
      </c>
      <c r="G464" s="224">
        <f t="shared" si="88"/>
      </c>
      <c r="H464" s="224">
        <f t="shared" si="89"/>
      </c>
      <c r="I464" s="224">
        <f t="shared" si="81"/>
      </c>
      <c r="J464" s="227">
        <v>0</v>
      </c>
      <c r="K464" s="252"/>
      <c r="L464" s="253">
        <f t="shared" si="82"/>
      </c>
      <c r="M464" s="239">
        <f t="shared" si="83"/>
      </c>
    </row>
    <row r="465" spans="1:13" ht="12.75" hidden="1">
      <c r="A465" s="223">
        <f t="shared" si="84"/>
      </c>
      <c r="B465" s="224">
        <f t="shared" si="85"/>
      </c>
      <c r="C465" s="224">
        <f t="shared" si="86"/>
      </c>
      <c r="D465" s="235">
        <f t="shared" si="79"/>
      </c>
      <c r="E465" s="224">
        <f t="shared" si="80"/>
      </c>
      <c r="F465" s="224">
        <f t="shared" si="87"/>
      </c>
      <c r="G465" s="224">
        <f t="shared" si="88"/>
      </c>
      <c r="H465" s="224">
        <f t="shared" si="89"/>
      </c>
      <c r="I465" s="224">
        <f t="shared" si="81"/>
      </c>
      <c r="J465" s="227">
        <v>0</v>
      </c>
      <c r="K465" s="252"/>
      <c r="L465" s="253">
        <f t="shared" si="82"/>
      </c>
      <c r="M465" s="239">
        <f t="shared" si="83"/>
      </c>
    </row>
    <row r="466" spans="1:13" ht="12.75" hidden="1">
      <c r="A466" s="223">
        <f t="shared" si="84"/>
      </c>
      <c r="B466" s="224">
        <f t="shared" si="85"/>
      </c>
      <c r="C466" s="224">
        <f t="shared" si="86"/>
      </c>
      <c r="D466" s="235">
        <f t="shared" si="79"/>
      </c>
      <c r="E466" s="224">
        <f t="shared" si="80"/>
      </c>
      <c r="F466" s="224">
        <f t="shared" si="87"/>
      </c>
      <c r="G466" s="224">
        <f t="shared" si="88"/>
      </c>
      <c r="H466" s="224">
        <f t="shared" si="89"/>
      </c>
      <c r="I466" s="224">
        <f t="shared" si="81"/>
      </c>
      <c r="J466" s="227">
        <v>0</v>
      </c>
      <c r="K466" s="252"/>
      <c r="L466" s="253">
        <f t="shared" si="82"/>
      </c>
      <c r="M466" s="239">
        <f t="shared" si="83"/>
      </c>
    </row>
    <row r="467" spans="1:13" ht="12.75" hidden="1">
      <c r="A467" s="223">
        <f t="shared" si="84"/>
      </c>
      <c r="B467" s="224">
        <f t="shared" si="85"/>
      </c>
      <c r="C467" s="224">
        <f t="shared" si="86"/>
      </c>
      <c r="D467" s="235">
        <f t="shared" si="79"/>
      </c>
      <c r="E467" s="224">
        <f t="shared" si="80"/>
      </c>
      <c r="F467" s="224">
        <f t="shared" si="87"/>
      </c>
      <c r="G467" s="224">
        <f t="shared" si="88"/>
      </c>
      <c r="H467" s="224">
        <f t="shared" si="89"/>
      </c>
      <c r="I467" s="224">
        <f t="shared" si="81"/>
      </c>
      <c r="J467" s="227">
        <v>0</v>
      </c>
      <c r="K467" s="252"/>
      <c r="L467" s="253">
        <f t="shared" si="82"/>
      </c>
      <c r="M467" s="239">
        <f t="shared" si="83"/>
      </c>
    </row>
    <row r="468" spans="1:13" ht="12.75" hidden="1">
      <c r="A468" s="223">
        <f t="shared" si="84"/>
      </c>
      <c r="B468" s="224">
        <f t="shared" si="85"/>
      </c>
      <c r="C468" s="224">
        <f t="shared" si="86"/>
      </c>
      <c r="D468" s="235">
        <f t="shared" si="79"/>
      </c>
      <c r="E468" s="224">
        <f t="shared" si="80"/>
      </c>
      <c r="F468" s="224">
        <f t="shared" si="87"/>
      </c>
      <c r="G468" s="224">
        <f t="shared" si="88"/>
      </c>
      <c r="H468" s="224">
        <f t="shared" si="89"/>
      </c>
      <c r="I468" s="224">
        <f t="shared" si="81"/>
      </c>
      <c r="J468" s="227">
        <v>0</v>
      </c>
      <c r="K468" s="252"/>
      <c r="L468" s="253">
        <f t="shared" si="82"/>
      </c>
      <c r="M468" s="239">
        <f t="shared" si="83"/>
      </c>
    </row>
    <row r="469" spans="1:13" ht="12.75" hidden="1">
      <c r="A469" s="223">
        <f t="shared" si="84"/>
      </c>
      <c r="B469" s="224">
        <f t="shared" si="85"/>
      </c>
      <c r="C469" s="224">
        <f t="shared" si="86"/>
      </c>
      <c r="D469" s="235">
        <f t="shared" si="79"/>
      </c>
      <c r="E469" s="224">
        <f t="shared" si="80"/>
      </c>
      <c r="F469" s="224">
        <f t="shared" si="87"/>
      </c>
      <c r="G469" s="224">
        <f t="shared" si="88"/>
      </c>
      <c r="H469" s="224">
        <f t="shared" si="89"/>
      </c>
      <c r="I469" s="224">
        <f t="shared" si="81"/>
      </c>
      <c r="J469" s="227">
        <v>0</v>
      </c>
      <c r="K469" s="252"/>
      <c r="L469" s="253">
        <f t="shared" si="82"/>
      </c>
      <c r="M469" s="239">
        <f t="shared" si="83"/>
      </c>
    </row>
    <row r="470" spans="1:13" ht="12.75" hidden="1">
      <c r="A470" s="223">
        <f t="shared" si="84"/>
      </c>
      <c r="B470" s="224">
        <f t="shared" si="85"/>
      </c>
      <c r="C470" s="224">
        <f t="shared" si="86"/>
      </c>
      <c r="D470" s="235">
        <f t="shared" si="79"/>
      </c>
      <c r="E470" s="224">
        <f t="shared" si="80"/>
      </c>
      <c r="F470" s="224">
        <f t="shared" si="87"/>
      </c>
      <c r="G470" s="224">
        <f t="shared" si="88"/>
      </c>
      <c r="H470" s="224">
        <f t="shared" si="89"/>
      </c>
      <c r="I470" s="224">
        <f t="shared" si="81"/>
      </c>
      <c r="J470" s="227">
        <v>0</v>
      </c>
      <c r="K470" s="252"/>
      <c r="L470" s="253">
        <f t="shared" si="82"/>
      </c>
      <c r="M470" s="239">
        <f t="shared" si="83"/>
      </c>
    </row>
    <row r="471" spans="1:13" ht="12.75" hidden="1">
      <c r="A471" s="223">
        <f t="shared" si="84"/>
      </c>
      <c r="B471" s="224">
        <f t="shared" si="85"/>
      </c>
      <c r="C471" s="224">
        <f t="shared" si="86"/>
      </c>
      <c r="D471" s="235">
        <f t="shared" si="79"/>
      </c>
      <c r="E471" s="224">
        <f t="shared" si="80"/>
      </c>
      <c r="F471" s="224">
        <f t="shared" si="87"/>
      </c>
      <c r="G471" s="224">
        <f t="shared" si="88"/>
      </c>
      <c r="H471" s="224">
        <f t="shared" si="89"/>
      </c>
      <c r="I471" s="224">
        <f t="shared" si="81"/>
      </c>
      <c r="J471" s="227">
        <v>0</v>
      </c>
      <c r="K471" s="252"/>
      <c r="L471" s="253">
        <f t="shared" si="82"/>
      </c>
      <c r="M471" s="239">
        <f t="shared" si="83"/>
      </c>
    </row>
    <row r="472" spans="1:13" ht="12.75" hidden="1">
      <c r="A472" s="223">
        <f t="shared" si="84"/>
      </c>
      <c r="B472" s="224">
        <f t="shared" si="85"/>
      </c>
      <c r="C472" s="224">
        <f t="shared" si="86"/>
      </c>
      <c r="D472" s="235">
        <f t="shared" si="79"/>
      </c>
      <c r="E472" s="224">
        <f t="shared" si="80"/>
      </c>
      <c r="F472" s="224">
        <f t="shared" si="87"/>
      </c>
      <c r="G472" s="224">
        <f t="shared" si="88"/>
      </c>
      <c r="H472" s="224">
        <f t="shared" si="89"/>
      </c>
      <c r="I472" s="224">
        <f t="shared" si="81"/>
      </c>
      <c r="J472" s="227">
        <v>0</v>
      </c>
      <c r="K472" s="252"/>
      <c r="L472" s="253">
        <f t="shared" si="82"/>
      </c>
      <c r="M472" s="239">
        <f t="shared" si="83"/>
      </c>
    </row>
    <row r="473" spans="1:13" ht="12.75" hidden="1">
      <c r="A473" s="223">
        <f t="shared" si="84"/>
      </c>
      <c r="B473" s="224">
        <f t="shared" si="85"/>
      </c>
      <c r="C473" s="224">
        <f t="shared" si="86"/>
      </c>
      <c r="D473" s="235">
        <f t="shared" si="79"/>
      </c>
      <c r="E473" s="224">
        <f t="shared" si="80"/>
      </c>
      <c r="F473" s="224">
        <f t="shared" si="87"/>
      </c>
      <c r="G473" s="224">
        <f t="shared" si="88"/>
      </c>
      <c r="H473" s="224">
        <f t="shared" si="89"/>
      </c>
      <c r="I473" s="224">
        <f t="shared" si="81"/>
      </c>
      <c r="J473" s="227">
        <v>0</v>
      </c>
      <c r="K473" s="252"/>
      <c r="L473" s="253">
        <f t="shared" si="82"/>
      </c>
      <c r="M473" s="239">
        <f t="shared" si="83"/>
      </c>
    </row>
    <row r="474" spans="1:13" ht="12.75" hidden="1">
      <c r="A474" s="223">
        <f t="shared" si="84"/>
      </c>
      <c r="B474" s="224">
        <f t="shared" si="85"/>
      </c>
      <c r="C474" s="224">
        <f t="shared" si="86"/>
      </c>
      <c r="D474" s="235">
        <f t="shared" si="79"/>
      </c>
      <c r="E474" s="224">
        <f t="shared" si="80"/>
      </c>
      <c r="F474" s="224">
        <f t="shared" si="87"/>
      </c>
      <c r="G474" s="224">
        <f t="shared" si="88"/>
      </c>
      <c r="H474" s="224">
        <f t="shared" si="89"/>
      </c>
      <c r="I474" s="224">
        <f t="shared" si="81"/>
      </c>
      <c r="J474" s="227">
        <v>0</v>
      </c>
      <c r="K474" s="252"/>
      <c r="L474" s="253">
        <f t="shared" si="82"/>
      </c>
      <c r="M474" s="239">
        <f t="shared" si="83"/>
      </c>
    </row>
    <row r="475" spans="1:13" ht="12.75" hidden="1">
      <c r="A475" s="223">
        <f t="shared" si="84"/>
      </c>
      <c r="B475" s="224">
        <f t="shared" si="85"/>
      </c>
      <c r="C475" s="224">
        <f t="shared" si="86"/>
      </c>
      <c r="D475" s="235">
        <f t="shared" si="79"/>
      </c>
      <c r="E475" s="224">
        <f t="shared" si="80"/>
      </c>
      <c r="F475" s="224">
        <f t="shared" si="87"/>
      </c>
      <c r="G475" s="224">
        <f t="shared" si="88"/>
      </c>
      <c r="H475" s="224">
        <f t="shared" si="89"/>
      </c>
      <c r="I475" s="224">
        <f t="shared" si="81"/>
      </c>
      <c r="J475" s="227">
        <v>0</v>
      </c>
      <c r="K475" s="252"/>
      <c r="L475" s="253">
        <f t="shared" si="82"/>
      </c>
      <c r="M475" s="239">
        <f t="shared" si="83"/>
      </c>
    </row>
    <row r="476" spans="1:13" ht="12.75" hidden="1">
      <c r="A476" s="223">
        <f t="shared" si="84"/>
      </c>
      <c r="B476" s="224">
        <f t="shared" si="85"/>
      </c>
      <c r="C476" s="224">
        <f t="shared" si="86"/>
      </c>
      <c r="D476" s="235">
        <f t="shared" si="79"/>
      </c>
      <c r="E476" s="224">
        <f t="shared" si="80"/>
      </c>
      <c r="F476" s="224">
        <f t="shared" si="87"/>
      </c>
      <c r="G476" s="224">
        <f t="shared" si="88"/>
      </c>
      <c r="H476" s="224">
        <f t="shared" si="89"/>
      </c>
      <c r="I476" s="224">
        <f t="shared" si="81"/>
      </c>
      <c r="J476" s="227">
        <v>0</v>
      </c>
      <c r="K476" s="252"/>
      <c r="L476" s="253">
        <f t="shared" si="82"/>
      </c>
      <c r="M476" s="239">
        <f t="shared" si="83"/>
      </c>
    </row>
    <row r="477" spans="1:13" ht="12.75" hidden="1">
      <c r="A477" s="223">
        <f t="shared" si="84"/>
      </c>
      <c r="B477" s="224">
        <f t="shared" si="85"/>
      </c>
      <c r="C477" s="224">
        <f t="shared" si="86"/>
      </c>
      <c r="D477" s="235">
        <f t="shared" si="79"/>
      </c>
      <c r="E477" s="224">
        <f t="shared" si="80"/>
      </c>
      <c r="F477" s="224">
        <f t="shared" si="87"/>
      </c>
      <c r="G477" s="224">
        <f t="shared" si="88"/>
      </c>
      <c r="H477" s="224">
        <f t="shared" si="89"/>
      </c>
      <c r="I477" s="224">
        <f t="shared" si="81"/>
      </c>
      <c r="J477" s="227">
        <v>0</v>
      </c>
      <c r="K477" s="252"/>
      <c r="L477" s="253">
        <f t="shared" si="82"/>
      </c>
      <c r="M477" s="239">
        <f t="shared" si="83"/>
      </c>
    </row>
    <row r="478" spans="1:13" ht="12.75" hidden="1">
      <c r="A478" s="223">
        <f t="shared" si="84"/>
      </c>
      <c r="B478" s="224">
        <f t="shared" si="85"/>
      </c>
      <c r="C478" s="224">
        <f t="shared" si="86"/>
      </c>
      <c r="D478" s="235">
        <f t="shared" si="79"/>
      </c>
      <c r="E478" s="224">
        <f t="shared" si="80"/>
      </c>
      <c r="F478" s="224">
        <f t="shared" si="87"/>
      </c>
      <c r="G478" s="224">
        <f t="shared" si="88"/>
      </c>
      <c r="H478" s="224">
        <f t="shared" si="89"/>
      </c>
      <c r="I478" s="224">
        <f t="shared" si="81"/>
      </c>
      <c r="J478" s="227">
        <v>0</v>
      </c>
      <c r="K478" s="252"/>
      <c r="L478" s="253">
        <f t="shared" si="82"/>
      </c>
      <c r="M478" s="239">
        <f t="shared" si="83"/>
      </c>
    </row>
    <row r="479" spans="1:13" ht="12.75" hidden="1">
      <c r="A479" s="223">
        <f t="shared" si="84"/>
      </c>
      <c r="B479" s="224">
        <f t="shared" si="85"/>
      </c>
      <c r="C479" s="224">
        <f t="shared" si="86"/>
      </c>
      <c r="D479" s="235">
        <f t="shared" si="79"/>
      </c>
      <c r="E479" s="224">
        <f t="shared" si="80"/>
      </c>
      <c r="F479" s="224">
        <f t="shared" si="87"/>
      </c>
      <c r="G479" s="224">
        <f t="shared" si="88"/>
      </c>
      <c r="H479" s="224">
        <f t="shared" si="89"/>
      </c>
      <c r="I479" s="224">
        <f t="shared" si="81"/>
      </c>
      <c r="J479" s="227">
        <v>0</v>
      </c>
      <c r="K479" s="252"/>
      <c r="L479" s="253">
        <f t="shared" si="82"/>
      </c>
      <c r="M479" s="239">
        <f t="shared" si="83"/>
      </c>
    </row>
    <row r="480" spans="1:13" ht="12.75" hidden="1">
      <c r="A480" s="223">
        <f t="shared" si="84"/>
      </c>
      <c r="B480" s="224">
        <f t="shared" si="85"/>
      </c>
      <c r="C480" s="224">
        <f t="shared" si="86"/>
      </c>
      <c r="D480" s="235">
        <f t="shared" si="79"/>
      </c>
      <c r="E480" s="224">
        <f t="shared" si="80"/>
      </c>
      <c r="F480" s="224">
        <f t="shared" si="87"/>
      </c>
      <c r="G480" s="224">
        <f t="shared" si="88"/>
      </c>
      <c r="H480" s="224">
        <f t="shared" si="89"/>
      </c>
      <c r="I480" s="224">
        <f t="shared" si="81"/>
      </c>
      <c r="J480" s="227">
        <v>0</v>
      </c>
      <c r="K480" s="252"/>
      <c r="L480" s="253">
        <f t="shared" si="82"/>
      </c>
      <c r="M480" s="239">
        <f t="shared" si="83"/>
      </c>
    </row>
    <row r="481" spans="1:13" ht="12.75" hidden="1">
      <c r="A481" s="223">
        <f t="shared" si="84"/>
      </c>
      <c r="B481" s="224">
        <f t="shared" si="85"/>
      </c>
      <c r="C481" s="224">
        <f t="shared" si="86"/>
      </c>
      <c r="D481" s="235">
        <f t="shared" si="79"/>
      </c>
      <c r="E481" s="224">
        <f t="shared" si="80"/>
      </c>
      <c r="F481" s="224">
        <f t="shared" si="87"/>
      </c>
      <c r="G481" s="224">
        <f t="shared" si="88"/>
      </c>
      <c r="H481" s="224">
        <f t="shared" si="89"/>
      </c>
      <c r="I481" s="224">
        <f t="shared" si="81"/>
      </c>
      <c r="J481" s="227">
        <v>0</v>
      </c>
      <c r="K481" s="252"/>
      <c r="L481" s="253">
        <f t="shared" si="82"/>
      </c>
      <c r="M481" s="239">
        <f t="shared" si="83"/>
      </c>
    </row>
    <row r="482" spans="1:13" ht="12.75" hidden="1">
      <c r="A482" s="223">
        <f t="shared" si="84"/>
      </c>
      <c r="B482" s="224">
        <f t="shared" si="85"/>
      </c>
      <c r="C482" s="224">
        <f t="shared" si="86"/>
      </c>
      <c r="D482" s="235">
        <f t="shared" si="79"/>
      </c>
      <c r="E482" s="224">
        <f t="shared" si="80"/>
      </c>
      <c r="F482" s="224">
        <f t="shared" si="87"/>
      </c>
      <c r="G482" s="224">
        <f t="shared" si="88"/>
      </c>
      <c r="H482" s="224">
        <f t="shared" si="89"/>
      </c>
      <c r="I482" s="224">
        <f t="shared" si="81"/>
      </c>
      <c r="J482" s="227">
        <v>0</v>
      </c>
      <c r="K482" s="252"/>
      <c r="L482" s="253">
        <f t="shared" si="82"/>
      </c>
      <c r="M482" s="239">
        <f t="shared" si="83"/>
      </c>
    </row>
    <row r="483" spans="1:13" ht="12.75" hidden="1">
      <c r="A483" s="223">
        <f t="shared" si="84"/>
      </c>
      <c r="B483" s="224">
        <f t="shared" si="85"/>
      </c>
      <c r="C483" s="224">
        <f t="shared" si="86"/>
      </c>
      <c r="D483" s="235">
        <f t="shared" si="79"/>
      </c>
      <c r="E483" s="224">
        <f t="shared" si="80"/>
      </c>
      <c r="F483" s="224">
        <f t="shared" si="87"/>
      </c>
      <c r="G483" s="224">
        <f t="shared" si="88"/>
      </c>
      <c r="H483" s="224">
        <f t="shared" si="89"/>
      </c>
      <c r="I483" s="224">
        <f t="shared" si="81"/>
      </c>
      <c r="J483" s="227">
        <v>0</v>
      </c>
      <c r="K483" s="252"/>
      <c r="L483" s="253">
        <f t="shared" si="82"/>
      </c>
      <c r="M483" s="239">
        <f t="shared" si="83"/>
      </c>
    </row>
    <row r="484" spans="1:13" ht="12.75" hidden="1">
      <c r="A484" s="223">
        <f t="shared" si="84"/>
      </c>
      <c r="B484" s="224">
        <f t="shared" si="85"/>
      </c>
      <c r="C484" s="224">
        <f t="shared" si="86"/>
      </c>
      <c r="D484" s="235">
        <f t="shared" si="79"/>
      </c>
      <c r="E484" s="224">
        <f t="shared" si="80"/>
      </c>
      <c r="F484" s="224">
        <f t="shared" si="87"/>
      </c>
      <c r="G484" s="224">
        <f t="shared" si="88"/>
      </c>
      <c r="H484" s="224">
        <f t="shared" si="89"/>
      </c>
      <c r="I484" s="224">
        <f t="shared" si="81"/>
      </c>
      <c r="J484" s="227">
        <v>0</v>
      </c>
      <c r="K484" s="252"/>
      <c r="L484" s="253">
        <f t="shared" si="82"/>
      </c>
      <c r="M484" s="239">
        <f t="shared" si="83"/>
      </c>
    </row>
    <row r="485" spans="1:13" ht="12.75" hidden="1">
      <c r="A485" s="223">
        <f t="shared" si="84"/>
      </c>
      <c r="B485" s="224">
        <f t="shared" si="85"/>
      </c>
      <c r="C485" s="224">
        <f t="shared" si="86"/>
      </c>
      <c r="D485" s="235">
        <f t="shared" si="79"/>
      </c>
      <c r="E485" s="224">
        <f t="shared" si="80"/>
      </c>
      <c r="F485" s="224">
        <f t="shared" si="87"/>
      </c>
      <c r="G485" s="224">
        <f t="shared" si="88"/>
      </c>
      <c r="H485" s="224">
        <f t="shared" si="89"/>
      </c>
      <c r="I485" s="224">
        <f t="shared" si="81"/>
      </c>
      <c r="J485" s="227">
        <v>0</v>
      </c>
      <c r="K485" s="252"/>
      <c r="L485" s="253">
        <f t="shared" si="82"/>
      </c>
      <c r="M485" s="239">
        <f t="shared" si="83"/>
      </c>
    </row>
    <row r="486" spans="1:13" ht="12.75" hidden="1">
      <c r="A486" s="223">
        <f t="shared" si="84"/>
      </c>
      <c r="B486" s="224">
        <f t="shared" si="85"/>
      </c>
      <c r="C486" s="224">
        <f t="shared" si="86"/>
      </c>
      <c r="D486" s="235">
        <f t="shared" si="79"/>
      </c>
      <c r="E486" s="224">
        <f t="shared" si="80"/>
      </c>
      <c r="F486" s="224">
        <f t="shared" si="87"/>
      </c>
      <c r="G486" s="224">
        <f t="shared" si="88"/>
      </c>
      <c r="H486" s="224">
        <f t="shared" si="89"/>
      </c>
      <c r="I486" s="224">
        <f t="shared" si="81"/>
      </c>
      <c r="J486" s="227">
        <v>0</v>
      </c>
      <c r="K486" s="252"/>
      <c r="L486" s="253">
        <f t="shared" si="82"/>
      </c>
      <c r="M486" s="239">
        <f t="shared" si="83"/>
      </c>
    </row>
    <row r="487" spans="1:13" ht="12.75" hidden="1">
      <c r="A487" s="223">
        <f t="shared" si="84"/>
      </c>
      <c r="B487" s="224">
        <f t="shared" si="85"/>
      </c>
      <c r="C487" s="224">
        <f t="shared" si="86"/>
      </c>
      <c r="D487" s="235">
        <f t="shared" si="79"/>
      </c>
      <c r="E487" s="224">
        <f t="shared" si="80"/>
      </c>
      <c r="F487" s="224">
        <f t="shared" si="87"/>
      </c>
      <c r="G487" s="224">
        <f t="shared" si="88"/>
      </c>
      <c r="H487" s="224">
        <f t="shared" si="89"/>
      </c>
      <c r="I487" s="224">
        <f t="shared" si="81"/>
      </c>
      <c r="J487" s="227">
        <v>0</v>
      </c>
      <c r="K487" s="252"/>
      <c r="L487" s="253">
        <f t="shared" si="82"/>
      </c>
      <c r="M487" s="239">
        <f t="shared" si="83"/>
      </c>
    </row>
    <row r="488" spans="1:13" ht="12.75" hidden="1">
      <c r="A488" s="223">
        <f t="shared" si="84"/>
      </c>
      <c r="B488" s="224">
        <f t="shared" si="85"/>
      </c>
      <c r="C488" s="224">
        <f t="shared" si="86"/>
      </c>
      <c r="D488" s="235">
        <f t="shared" si="79"/>
      </c>
      <c r="E488" s="224">
        <f t="shared" si="80"/>
      </c>
      <c r="F488" s="224">
        <f t="shared" si="87"/>
      </c>
      <c r="G488" s="224">
        <f t="shared" si="88"/>
      </c>
      <c r="H488" s="224">
        <f t="shared" si="89"/>
      </c>
      <c r="I488" s="224">
        <f t="shared" si="81"/>
      </c>
      <c r="J488" s="227">
        <v>0</v>
      </c>
      <c r="K488" s="252"/>
      <c r="L488" s="253">
        <f t="shared" si="82"/>
      </c>
      <c r="M488" s="239">
        <f t="shared" si="83"/>
      </c>
    </row>
    <row r="489" spans="1:13" ht="12.75" hidden="1">
      <c r="A489" s="223">
        <f t="shared" si="84"/>
      </c>
      <c r="B489" s="224">
        <f t="shared" si="85"/>
      </c>
      <c r="C489" s="224">
        <f t="shared" si="86"/>
      </c>
      <c r="D489" s="235">
        <f t="shared" si="79"/>
      </c>
      <c r="E489" s="224">
        <f t="shared" si="80"/>
      </c>
      <c r="F489" s="224">
        <f t="shared" si="87"/>
      </c>
      <c r="G489" s="224">
        <f t="shared" si="88"/>
      </c>
      <c r="H489" s="224">
        <f t="shared" si="89"/>
      </c>
      <c r="I489" s="224">
        <f t="shared" si="81"/>
      </c>
      <c r="J489" s="227">
        <v>0</v>
      </c>
      <c r="K489" s="252"/>
      <c r="L489" s="253">
        <f t="shared" si="82"/>
      </c>
      <c r="M489" s="239">
        <f t="shared" si="83"/>
      </c>
    </row>
    <row r="490" spans="1:13" ht="12.75" hidden="1">
      <c r="A490" s="223">
        <f t="shared" si="84"/>
      </c>
      <c r="B490" s="224">
        <f t="shared" si="85"/>
      </c>
      <c r="C490" s="224">
        <f t="shared" si="86"/>
      </c>
      <c r="D490" s="235">
        <f t="shared" si="79"/>
      </c>
      <c r="E490" s="224">
        <f t="shared" si="80"/>
      </c>
      <c r="F490" s="224">
        <f t="shared" si="87"/>
      </c>
      <c r="G490" s="224">
        <f t="shared" si="88"/>
      </c>
      <c r="H490" s="224">
        <f t="shared" si="89"/>
      </c>
      <c r="I490" s="224">
        <f t="shared" si="81"/>
      </c>
      <c r="J490" s="227">
        <v>0</v>
      </c>
      <c r="K490" s="252"/>
      <c r="L490" s="253">
        <f t="shared" si="82"/>
      </c>
      <c r="M490" s="239">
        <f t="shared" si="83"/>
      </c>
    </row>
    <row r="491" spans="1:13" ht="12.75" hidden="1">
      <c r="A491" s="223">
        <f t="shared" si="84"/>
      </c>
      <c r="B491" s="224">
        <f t="shared" si="85"/>
      </c>
      <c r="C491" s="224">
        <f t="shared" si="86"/>
      </c>
      <c r="D491" s="235">
        <f t="shared" si="79"/>
      </c>
      <c r="E491" s="224">
        <f t="shared" si="80"/>
      </c>
      <c r="F491" s="224">
        <f t="shared" si="87"/>
      </c>
      <c r="G491" s="224">
        <f t="shared" si="88"/>
      </c>
      <c r="H491" s="224">
        <f t="shared" si="89"/>
      </c>
      <c r="I491" s="224">
        <f t="shared" si="81"/>
      </c>
      <c r="J491" s="227">
        <v>0</v>
      </c>
      <c r="K491" s="252"/>
      <c r="L491" s="253">
        <f t="shared" si="82"/>
      </c>
      <c r="M491" s="239">
        <f t="shared" si="83"/>
      </c>
    </row>
    <row r="492" spans="1:13" ht="12.75" hidden="1">
      <c r="A492" s="223">
        <f t="shared" si="84"/>
      </c>
      <c r="B492" s="224">
        <f t="shared" si="85"/>
      </c>
      <c r="C492" s="224">
        <f t="shared" si="86"/>
      </c>
      <c r="D492" s="235">
        <f t="shared" si="79"/>
      </c>
      <c r="E492" s="224">
        <f t="shared" si="80"/>
      </c>
      <c r="F492" s="224">
        <f t="shared" si="87"/>
      </c>
      <c r="G492" s="224">
        <f t="shared" si="88"/>
      </c>
      <c r="H492" s="224">
        <f t="shared" si="89"/>
      </c>
      <c r="I492" s="224">
        <f t="shared" si="81"/>
      </c>
      <c r="J492" s="227">
        <v>0</v>
      </c>
      <c r="K492" s="252"/>
      <c r="L492" s="253">
        <f t="shared" si="82"/>
      </c>
      <c r="M492" s="239">
        <f t="shared" si="83"/>
      </c>
    </row>
    <row r="493" spans="1:13" ht="12.75" hidden="1">
      <c r="A493" s="223">
        <f t="shared" si="84"/>
      </c>
      <c r="B493" s="224">
        <f t="shared" si="85"/>
      </c>
      <c r="C493" s="224">
        <f t="shared" si="86"/>
      </c>
      <c r="D493" s="235">
        <f t="shared" si="79"/>
      </c>
      <c r="E493" s="224">
        <f t="shared" si="80"/>
      </c>
      <c r="F493" s="224">
        <f t="shared" si="87"/>
      </c>
      <c r="G493" s="224">
        <f t="shared" si="88"/>
      </c>
      <c r="H493" s="224">
        <f t="shared" si="89"/>
      </c>
      <c r="I493" s="224">
        <f t="shared" si="81"/>
      </c>
      <c r="J493" s="227">
        <v>0</v>
      </c>
      <c r="K493" s="252"/>
      <c r="L493" s="253">
        <f t="shared" si="82"/>
      </c>
      <c r="M493" s="239">
        <f t="shared" si="83"/>
      </c>
    </row>
    <row r="494" spans="1:13" ht="12.75" hidden="1">
      <c r="A494" s="223">
        <f t="shared" si="84"/>
      </c>
      <c r="B494" s="224">
        <f t="shared" si="85"/>
      </c>
      <c r="C494" s="224">
        <f t="shared" si="86"/>
      </c>
      <c r="D494" s="235">
        <f t="shared" si="79"/>
      </c>
      <c r="E494" s="224">
        <f t="shared" si="80"/>
      </c>
      <c r="F494" s="224">
        <f t="shared" si="87"/>
      </c>
      <c r="G494" s="224">
        <f t="shared" si="88"/>
      </c>
      <c r="H494" s="224">
        <f t="shared" si="89"/>
      </c>
      <c r="I494" s="224">
        <f t="shared" si="81"/>
      </c>
      <c r="J494" s="227">
        <v>0</v>
      </c>
      <c r="K494" s="252"/>
      <c r="L494" s="253">
        <f t="shared" si="82"/>
      </c>
      <c r="M494" s="239">
        <f t="shared" si="83"/>
      </c>
    </row>
    <row r="495" spans="1:13" ht="12.75" hidden="1">
      <c r="A495" s="223">
        <f t="shared" si="84"/>
      </c>
      <c r="B495" s="224">
        <f t="shared" si="85"/>
      </c>
      <c r="C495" s="224">
        <f t="shared" si="86"/>
      </c>
      <c r="D495" s="235">
        <f t="shared" si="79"/>
      </c>
      <c r="E495" s="224">
        <f t="shared" si="80"/>
      </c>
      <c r="F495" s="224">
        <f t="shared" si="87"/>
      </c>
      <c r="G495" s="224">
        <f t="shared" si="88"/>
      </c>
      <c r="H495" s="224">
        <f t="shared" si="89"/>
      </c>
      <c r="I495" s="224">
        <f t="shared" si="81"/>
      </c>
      <c r="J495" s="227">
        <v>0</v>
      </c>
      <c r="K495" s="252"/>
      <c r="L495" s="253">
        <f t="shared" si="82"/>
      </c>
      <c r="M495" s="239">
        <f t="shared" si="83"/>
      </c>
    </row>
    <row r="496" spans="1:13" ht="12.75" hidden="1">
      <c r="A496" s="223">
        <f t="shared" si="84"/>
      </c>
      <c r="B496" s="224">
        <f t="shared" si="85"/>
      </c>
      <c r="C496" s="224">
        <f t="shared" si="86"/>
      </c>
      <c r="D496" s="235">
        <f t="shared" si="79"/>
      </c>
      <c r="E496" s="224">
        <f t="shared" si="80"/>
      </c>
      <c r="F496" s="224">
        <f t="shared" si="87"/>
      </c>
      <c r="G496" s="224">
        <f t="shared" si="88"/>
      </c>
      <c r="H496" s="224">
        <f t="shared" si="89"/>
      </c>
      <c r="I496" s="224">
        <f t="shared" si="81"/>
      </c>
      <c r="J496" s="227">
        <v>0</v>
      </c>
      <c r="K496" s="252"/>
      <c r="L496" s="253">
        <f t="shared" si="82"/>
      </c>
      <c r="M496" s="239">
        <f t="shared" si="83"/>
      </c>
    </row>
    <row r="497" spans="1:13" ht="12.75" hidden="1">
      <c r="A497" s="223">
        <f t="shared" si="84"/>
      </c>
      <c r="B497" s="224">
        <f t="shared" si="85"/>
      </c>
      <c r="C497" s="224">
        <f t="shared" si="86"/>
      </c>
      <c r="D497" s="235">
        <f t="shared" si="79"/>
      </c>
      <c r="E497" s="224">
        <f t="shared" si="80"/>
      </c>
      <c r="F497" s="224">
        <f t="shared" si="87"/>
      </c>
      <c r="G497" s="224">
        <f t="shared" si="88"/>
      </c>
      <c r="H497" s="224">
        <f t="shared" si="89"/>
      </c>
      <c r="I497" s="224">
        <f t="shared" si="81"/>
      </c>
      <c r="J497" s="227">
        <v>0</v>
      </c>
      <c r="K497" s="252"/>
      <c r="L497" s="253">
        <f t="shared" si="82"/>
      </c>
      <c r="M497" s="239">
        <f t="shared" si="83"/>
      </c>
    </row>
    <row r="498" spans="1:13" ht="12.75" hidden="1">
      <c r="A498" s="223">
        <f t="shared" si="84"/>
      </c>
      <c r="B498" s="224">
        <f t="shared" si="85"/>
      </c>
      <c r="C498" s="224">
        <f t="shared" si="86"/>
      </c>
      <c r="D498" s="235">
        <f t="shared" si="79"/>
      </c>
      <c r="E498" s="224">
        <f t="shared" si="80"/>
      </c>
      <c r="F498" s="224">
        <f t="shared" si="87"/>
      </c>
      <c r="G498" s="224">
        <f t="shared" si="88"/>
      </c>
      <c r="H498" s="224">
        <f t="shared" si="89"/>
      </c>
      <c r="I498" s="224">
        <f t="shared" si="81"/>
      </c>
      <c r="J498" s="227">
        <v>0</v>
      </c>
      <c r="K498" s="252"/>
      <c r="L498" s="253">
        <f t="shared" si="82"/>
      </c>
      <c r="M498" s="239">
        <f t="shared" si="83"/>
      </c>
    </row>
    <row r="499" spans="1:13" ht="12.75" hidden="1">
      <c r="A499" s="223">
        <f t="shared" si="84"/>
      </c>
      <c r="B499" s="224">
        <f t="shared" si="85"/>
      </c>
      <c r="C499" s="224">
        <f t="shared" si="86"/>
      </c>
      <c r="D499" s="235">
        <f t="shared" si="79"/>
      </c>
      <c r="E499" s="224">
        <f t="shared" si="80"/>
      </c>
      <c r="F499" s="224">
        <f t="shared" si="87"/>
      </c>
      <c r="G499" s="224">
        <f t="shared" si="88"/>
      </c>
      <c r="H499" s="224">
        <f t="shared" si="89"/>
      </c>
      <c r="I499" s="224">
        <f t="shared" si="81"/>
      </c>
      <c r="J499" s="227">
        <v>0</v>
      </c>
      <c r="K499" s="252"/>
      <c r="L499" s="253">
        <f t="shared" si="82"/>
      </c>
      <c r="M499" s="239">
        <f t="shared" si="83"/>
      </c>
    </row>
    <row r="500" spans="1:13" ht="12.75" hidden="1">
      <c r="A500" s="223">
        <f t="shared" si="84"/>
      </c>
      <c r="B500" s="224">
        <f t="shared" si="85"/>
      </c>
      <c r="C500" s="224">
        <f t="shared" si="86"/>
      </c>
      <c r="D500" s="235">
        <f t="shared" si="79"/>
      </c>
      <c r="E500" s="224">
        <f t="shared" si="80"/>
      </c>
      <c r="F500" s="224">
        <f t="shared" si="87"/>
      </c>
      <c r="G500" s="224">
        <f t="shared" si="88"/>
      </c>
      <c r="H500" s="224">
        <f t="shared" si="89"/>
      </c>
      <c r="I500" s="224">
        <f t="shared" si="81"/>
      </c>
      <c r="J500" s="227">
        <v>0</v>
      </c>
      <c r="K500" s="252"/>
      <c r="L500" s="253">
        <f t="shared" si="82"/>
      </c>
      <c r="M500" s="239">
        <f t="shared" si="83"/>
      </c>
    </row>
    <row r="501" spans="1:13" ht="12.75" hidden="1">
      <c r="A501" s="223">
        <f t="shared" si="84"/>
      </c>
      <c r="B501" s="224">
        <f t="shared" si="85"/>
      </c>
      <c r="C501" s="224">
        <f t="shared" si="86"/>
      </c>
      <c r="D501" s="235">
        <f t="shared" si="79"/>
      </c>
      <c r="E501" s="224">
        <f t="shared" si="80"/>
      </c>
      <c r="F501" s="224">
        <f t="shared" si="87"/>
      </c>
      <c r="G501" s="224">
        <f t="shared" si="88"/>
      </c>
      <c r="H501" s="224">
        <f t="shared" si="89"/>
      </c>
      <c r="I501" s="224">
        <f t="shared" si="81"/>
      </c>
      <c r="J501" s="227">
        <v>0</v>
      </c>
      <c r="K501" s="252"/>
      <c r="L501" s="253">
        <f t="shared" si="82"/>
      </c>
      <c r="M501" s="239">
        <f t="shared" si="83"/>
      </c>
    </row>
    <row r="502" spans="1:13" ht="12.75" hidden="1">
      <c r="A502" s="223">
        <f t="shared" si="84"/>
      </c>
      <c r="B502" s="224">
        <f t="shared" si="85"/>
      </c>
      <c r="C502" s="224">
        <f t="shared" si="86"/>
      </c>
      <c r="D502" s="235">
        <f t="shared" si="79"/>
      </c>
      <c r="E502" s="224">
        <f t="shared" si="80"/>
      </c>
      <c r="F502" s="224">
        <f t="shared" si="87"/>
      </c>
      <c r="G502" s="224">
        <f t="shared" si="88"/>
      </c>
      <c r="H502" s="224">
        <f t="shared" si="89"/>
      </c>
      <c r="I502" s="224">
        <f t="shared" si="81"/>
      </c>
      <c r="J502" s="227">
        <v>0</v>
      </c>
      <c r="K502" s="252"/>
      <c r="L502" s="253">
        <f t="shared" si="82"/>
      </c>
      <c r="M502" s="239">
        <f t="shared" si="83"/>
      </c>
    </row>
    <row r="503" spans="1:13" ht="12.75" hidden="1">
      <c r="A503" s="223">
        <f t="shared" si="84"/>
      </c>
      <c r="B503" s="224">
        <f t="shared" si="85"/>
      </c>
      <c r="C503" s="224">
        <f t="shared" si="86"/>
      </c>
      <c r="D503" s="235">
        <f t="shared" si="79"/>
      </c>
      <c r="E503" s="224">
        <f t="shared" si="80"/>
      </c>
      <c r="F503" s="224">
        <f t="shared" si="87"/>
      </c>
      <c r="G503" s="224">
        <f t="shared" si="88"/>
      </c>
      <c r="H503" s="224">
        <f t="shared" si="89"/>
      </c>
      <c r="I503" s="224">
        <f t="shared" si="81"/>
      </c>
      <c r="J503" s="227">
        <v>0</v>
      </c>
      <c r="K503" s="252"/>
      <c r="L503" s="253">
        <f t="shared" si="82"/>
      </c>
      <c r="M503" s="239">
        <f t="shared" si="83"/>
      </c>
    </row>
    <row r="504" spans="1:13" ht="12.75" hidden="1">
      <c r="A504" s="223">
        <f t="shared" si="84"/>
      </c>
      <c r="B504" s="224">
        <f t="shared" si="85"/>
      </c>
      <c r="C504" s="224">
        <f t="shared" si="86"/>
      </c>
      <c r="D504" s="235">
        <f t="shared" si="79"/>
      </c>
      <c r="E504" s="224">
        <f t="shared" si="80"/>
      </c>
      <c r="F504" s="224">
        <f t="shared" si="87"/>
      </c>
      <c r="G504" s="224">
        <f t="shared" si="88"/>
      </c>
      <c r="H504" s="224">
        <f t="shared" si="89"/>
      </c>
      <c r="I504" s="224">
        <f t="shared" si="81"/>
      </c>
      <c r="J504" s="227">
        <v>0</v>
      </c>
      <c r="K504" s="252"/>
      <c r="L504" s="253">
        <f t="shared" si="82"/>
      </c>
      <c r="M504" s="239">
        <f t="shared" si="83"/>
      </c>
    </row>
    <row r="505" spans="1:13" ht="12.75" hidden="1">
      <c r="A505" s="223">
        <f t="shared" si="84"/>
      </c>
      <c r="B505" s="224">
        <f t="shared" si="85"/>
      </c>
      <c r="C505" s="224">
        <f t="shared" si="86"/>
      </c>
      <c r="D505" s="235">
        <f aca="true" t="shared" si="90" ref="D505:D536">IF(A505="","",(B505*($C$17))/12)</f>
      </c>
      <c r="E505" s="224">
        <f aca="true" t="shared" si="91" ref="E505:E536">IF(B505&lt;(IF(A505="","",IF($J$52=2,$G$12,PMT($C$17/12,$C$18-A504,-B505,0,0)))),B505+D505,IF(A505="","",IF($J$52=2,$G$12,PMT($C$17/12,$C$18-A504,-B505,0,0))))</f>
      </c>
      <c r="F505" s="224">
        <f t="shared" si="87"/>
      </c>
      <c r="G505" s="224">
        <f t="shared" si="88"/>
      </c>
      <c r="H505" s="224">
        <f t="shared" si="89"/>
      </c>
      <c r="I505" s="224">
        <f aca="true" t="shared" si="92" ref="I505:I536">IF(A505="","",E505+F505+G505+H505)</f>
      </c>
      <c r="J505" s="227">
        <v>0</v>
      </c>
      <c r="K505" s="252"/>
      <c r="L505" s="253">
        <f aca="true" t="shared" si="93" ref="L505:L536">IF(A505="","",B505-C505-J505-K505)</f>
      </c>
      <c r="M505" s="239">
        <f aca="true" t="shared" si="94" ref="M505:M536">IF(A505="","",G505+F505)</f>
      </c>
    </row>
    <row r="506" spans="1:13" ht="12.75" hidden="1">
      <c r="A506" s="223">
        <f aca="true" t="shared" si="95" ref="A506:A536">IF(A505="","",IF((B505-C505)&lt;0.01,"",A505+1))</f>
      </c>
      <c r="B506" s="224">
        <f aca="true" t="shared" si="96" ref="B506:B536">IF(A506="","",(B505-C505-J505-K505))</f>
      </c>
      <c r="C506" s="224">
        <f aca="true" t="shared" si="97" ref="C506:C536">IF(A506="","",E506-D506)</f>
      </c>
      <c r="D506" s="235">
        <f t="shared" si="90"/>
      </c>
      <c r="E506" s="224">
        <f t="shared" si="91"/>
      </c>
      <c r="F506" s="224">
        <f aca="true" t="shared" si="98" ref="F506:F536">IF(A506="","",F505)</f>
      </c>
      <c r="G506" s="224">
        <f aca="true" t="shared" si="99" ref="G506:G536">IF(A506="","",G505)</f>
      </c>
      <c r="H506" s="224">
        <f aca="true" t="shared" si="100" ref="H506:H536">IF(A506="","",H505)</f>
      </c>
      <c r="I506" s="224">
        <f t="shared" si="92"/>
      </c>
      <c r="J506" s="227">
        <v>0</v>
      </c>
      <c r="K506" s="252"/>
      <c r="L506" s="253">
        <f t="shared" si="93"/>
      </c>
      <c r="M506" s="239">
        <f t="shared" si="94"/>
      </c>
    </row>
    <row r="507" spans="1:13" ht="12.75" hidden="1">
      <c r="A507" s="223">
        <f t="shared" si="95"/>
      </c>
      <c r="B507" s="224">
        <f t="shared" si="96"/>
      </c>
      <c r="C507" s="224">
        <f t="shared" si="97"/>
      </c>
      <c r="D507" s="235">
        <f t="shared" si="90"/>
      </c>
      <c r="E507" s="224">
        <f t="shared" si="91"/>
      </c>
      <c r="F507" s="224">
        <f t="shared" si="98"/>
      </c>
      <c r="G507" s="224">
        <f t="shared" si="99"/>
      </c>
      <c r="H507" s="224">
        <f t="shared" si="100"/>
      </c>
      <c r="I507" s="224">
        <f t="shared" si="92"/>
      </c>
      <c r="J507" s="227">
        <v>0</v>
      </c>
      <c r="K507" s="252"/>
      <c r="L507" s="253">
        <f t="shared" si="93"/>
      </c>
      <c r="M507" s="239">
        <f t="shared" si="94"/>
      </c>
    </row>
    <row r="508" spans="1:13" ht="12.75" hidden="1">
      <c r="A508" s="223">
        <f t="shared" si="95"/>
      </c>
      <c r="B508" s="224">
        <f t="shared" si="96"/>
      </c>
      <c r="C508" s="224">
        <f t="shared" si="97"/>
      </c>
      <c r="D508" s="235">
        <f t="shared" si="90"/>
      </c>
      <c r="E508" s="224">
        <f t="shared" si="91"/>
      </c>
      <c r="F508" s="224">
        <f t="shared" si="98"/>
      </c>
      <c r="G508" s="224">
        <f t="shared" si="99"/>
      </c>
      <c r="H508" s="224">
        <f t="shared" si="100"/>
      </c>
      <c r="I508" s="224">
        <f t="shared" si="92"/>
      </c>
      <c r="J508" s="227">
        <v>0</v>
      </c>
      <c r="K508" s="252"/>
      <c r="L508" s="253">
        <f t="shared" si="93"/>
      </c>
      <c r="M508" s="239">
        <f t="shared" si="94"/>
      </c>
    </row>
    <row r="509" spans="1:13" ht="12.75" hidden="1">
      <c r="A509" s="223">
        <f t="shared" si="95"/>
      </c>
      <c r="B509" s="224">
        <f t="shared" si="96"/>
      </c>
      <c r="C509" s="224">
        <f t="shared" si="97"/>
      </c>
      <c r="D509" s="235">
        <f t="shared" si="90"/>
      </c>
      <c r="E509" s="224">
        <f t="shared" si="91"/>
      </c>
      <c r="F509" s="224">
        <f t="shared" si="98"/>
      </c>
      <c r="G509" s="224">
        <f t="shared" si="99"/>
      </c>
      <c r="H509" s="224">
        <f t="shared" si="100"/>
      </c>
      <c r="I509" s="224">
        <f t="shared" si="92"/>
      </c>
      <c r="J509" s="227">
        <v>0</v>
      </c>
      <c r="K509" s="252"/>
      <c r="L509" s="253">
        <f t="shared" si="93"/>
      </c>
      <c r="M509" s="239">
        <f t="shared" si="94"/>
      </c>
    </row>
    <row r="510" spans="1:13" ht="12.75" hidden="1">
      <c r="A510" s="223">
        <f t="shared" si="95"/>
      </c>
      <c r="B510" s="224">
        <f t="shared" si="96"/>
      </c>
      <c r="C510" s="224">
        <f t="shared" si="97"/>
      </c>
      <c r="D510" s="235">
        <f t="shared" si="90"/>
      </c>
      <c r="E510" s="224">
        <f t="shared" si="91"/>
      </c>
      <c r="F510" s="224">
        <f t="shared" si="98"/>
      </c>
      <c r="G510" s="224">
        <f t="shared" si="99"/>
      </c>
      <c r="H510" s="224">
        <f t="shared" si="100"/>
      </c>
      <c r="I510" s="224">
        <f t="shared" si="92"/>
      </c>
      <c r="J510" s="227">
        <v>0</v>
      </c>
      <c r="K510" s="252"/>
      <c r="L510" s="253">
        <f t="shared" si="93"/>
      </c>
      <c r="M510" s="239">
        <f t="shared" si="94"/>
      </c>
    </row>
    <row r="511" spans="1:13" ht="12.75" hidden="1">
      <c r="A511" s="223">
        <f t="shared" si="95"/>
      </c>
      <c r="B511" s="224">
        <f t="shared" si="96"/>
      </c>
      <c r="C511" s="224">
        <f t="shared" si="97"/>
      </c>
      <c r="D511" s="235">
        <f t="shared" si="90"/>
      </c>
      <c r="E511" s="224">
        <f t="shared" si="91"/>
      </c>
      <c r="F511" s="224">
        <f t="shared" si="98"/>
      </c>
      <c r="G511" s="224">
        <f t="shared" si="99"/>
      </c>
      <c r="H511" s="224">
        <f t="shared" si="100"/>
      </c>
      <c r="I511" s="224">
        <f t="shared" si="92"/>
      </c>
      <c r="J511" s="227">
        <v>0</v>
      </c>
      <c r="K511" s="252"/>
      <c r="L511" s="253">
        <f t="shared" si="93"/>
      </c>
      <c r="M511" s="239">
        <f t="shared" si="94"/>
      </c>
    </row>
    <row r="512" spans="1:13" ht="12.75" hidden="1">
      <c r="A512" s="223">
        <f t="shared" si="95"/>
      </c>
      <c r="B512" s="224">
        <f t="shared" si="96"/>
      </c>
      <c r="C512" s="224">
        <f t="shared" si="97"/>
      </c>
      <c r="D512" s="235">
        <f t="shared" si="90"/>
      </c>
      <c r="E512" s="224">
        <f t="shared" si="91"/>
      </c>
      <c r="F512" s="224">
        <f t="shared" si="98"/>
      </c>
      <c r="G512" s="224">
        <f t="shared" si="99"/>
      </c>
      <c r="H512" s="224">
        <f t="shared" si="100"/>
      </c>
      <c r="I512" s="224">
        <f t="shared" si="92"/>
      </c>
      <c r="J512" s="227">
        <v>0</v>
      </c>
      <c r="K512" s="252"/>
      <c r="L512" s="253">
        <f t="shared" si="93"/>
      </c>
      <c r="M512" s="239">
        <f t="shared" si="94"/>
      </c>
    </row>
    <row r="513" spans="1:13" ht="12.75" hidden="1">
      <c r="A513" s="223">
        <f t="shared" si="95"/>
      </c>
      <c r="B513" s="224">
        <f t="shared" si="96"/>
      </c>
      <c r="C513" s="224">
        <f t="shared" si="97"/>
      </c>
      <c r="D513" s="235">
        <f t="shared" si="90"/>
      </c>
      <c r="E513" s="224">
        <f t="shared" si="91"/>
      </c>
      <c r="F513" s="224">
        <f t="shared" si="98"/>
      </c>
      <c r="G513" s="224">
        <f t="shared" si="99"/>
      </c>
      <c r="H513" s="224">
        <f t="shared" si="100"/>
      </c>
      <c r="I513" s="224">
        <f t="shared" si="92"/>
      </c>
      <c r="J513" s="227">
        <v>0</v>
      </c>
      <c r="K513" s="252"/>
      <c r="L513" s="253">
        <f t="shared" si="93"/>
      </c>
      <c r="M513" s="239">
        <f t="shared" si="94"/>
      </c>
    </row>
    <row r="514" spans="1:13" ht="12.75" hidden="1">
      <c r="A514" s="223">
        <f t="shared" si="95"/>
      </c>
      <c r="B514" s="224">
        <f t="shared" si="96"/>
      </c>
      <c r="C514" s="224">
        <f t="shared" si="97"/>
      </c>
      <c r="D514" s="235">
        <f t="shared" si="90"/>
      </c>
      <c r="E514" s="224">
        <f t="shared" si="91"/>
      </c>
      <c r="F514" s="224">
        <f t="shared" si="98"/>
      </c>
      <c r="G514" s="224">
        <f t="shared" si="99"/>
      </c>
      <c r="H514" s="224">
        <f t="shared" si="100"/>
      </c>
      <c r="I514" s="224">
        <f t="shared" si="92"/>
      </c>
      <c r="J514" s="227">
        <v>0</v>
      </c>
      <c r="K514" s="252"/>
      <c r="L514" s="253">
        <f t="shared" si="93"/>
      </c>
      <c r="M514" s="239">
        <f t="shared" si="94"/>
      </c>
    </row>
    <row r="515" spans="1:13" ht="12.75" hidden="1">
      <c r="A515" s="223">
        <f t="shared" si="95"/>
      </c>
      <c r="B515" s="224">
        <f t="shared" si="96"/>
      </c>
      <c r="C515" s="224">
        <f t="shared" si="97"/>
      </c>
      <c r="D515" s="235">
        <f t="shared" si="90"/>
      </c>
      <c r="E515" s="224">
        <f t="shared" si="91"/>
      </c>
      <c r="F515" s="224">
        <f t="shared" si="98"/>
      </c>
      <c r="G515" s="224">
        <f t="shared" si="99"/>
      </c>
      <c r="H515" s="224">
        <f t="shared" si="100"/>
      </c>
      <c r="I515" s="224">
        <f t="shared" si="92"/>
      </c>
      <c r="J515" s="227">
        <v>0</v>
      </c>
      <c r="K515" s="252"/>
      <c r="L515" s="253">
        <f t="shared" si="93"/>
      </c>
      <c r="M515" s="239">
        <f t="shared" si="94"/>
      </c>
    </row>
    <row r="516" spans="1:13" ht="12.75" hidden="1">
      <c r="A516" s="223">
        <f t="shared" si="95"/>
      </c>
      <c r="B516" s="224">
        <f t="shared" si="96"/>
      </c>
      <c r="C516" s="224">
        <f t="shared" si="97"/>
      </c>
      <c r="D516" s="235">
        <f t="shared" si="90"/>
      </c>
      <c r="E516" s="224">
        <f t="shared" si="91"/>
      </c>
      <c r="F516" s="224">
        <f t="shared" si="98"/>
      </c>
      <c r="G516" s="224">
        <f t="shared" si="99"/>
      </c>
      <c r="H516" s="224">
        <f t="shared" si="100"/>
      </c>
      <c r="I516" s="224">
        <f t="shared" si="92"/>
      </c>
      <c r="J516" s="227">
        <v>0</v>
      </c>
      <c r="K516" s="252"/>
      <c r="L516" s="253">
        <f t="shared" si="93"/>
      </c>
      <c r="M516" s="239">
        <f t="shared" si="94"/>
      </c>
    </row>
    <row r="517" spans="1:13" ht="12.75" hidden="1">
      <c r="A517" s="223">
        <f t="shared" si="95"/>
      </c>
      <c r="B517" s="224">
        <f t="shared" si="96"/>
      </c>
      <c r="C517" s="224">
        <f t="shared" si="97"/>
      </c>
      <c r="D517" s="235">
        <f t="shared" si="90"/>
      </c>
      <c r="E517" s="224">
        <f t="shared" si="91"/>
      </c>
      <c r="F517" s="224">
        <f t="shared" si="98"/>
      </c>
      <c r="G517" s="224">
        <f t="shared" si="99"/>
      </c>
      <c r="H517" s="224">
        <f t="shared" si="100"/>
      </c>
      <c r="I517" s="224">
        <f t="shared" si="92"/>
      </c>
      <c r="J517" s="227">
        <v>0</v>
      </c>
      <c r="K517" s="252"/>
      <c r="L517" s="253">
        <f t="shared" si="93"/>
      </c>
      <c r="M517" s="239">
        <f t="shared" si="94"/>
      </c>
    </row>
    <row r="518" spans="1:13" ht="12.75" hidden="1">
      <c r="A518" s="223">
        <f t="shared" si="95"/>
      </c>
      <c r="B518" s="224">
        <f t="shared" si="96"/>
      </c>
      <c r="C518" s="224">
        <f t="shared" si="97"/>
      </c>
      <c r="D518" s="235">
        <f t="shared" si="90"/>
      </c>
      <c r="E518" s="224">
        <f t="shared" si="91"/>
      </c>
      <c r="F518" s="224">
        <f t="shared" si="98"/>
      </c>
      <c r="G518" s="224">
        <f t="shared" si="99"/>
      </c>
      <c r="H518" s="224">
        <f t="shared" si="100"/>
      </c>
      <c r="I518" s="224">
        <f t="shared" si="92"/>
      </c>
      <c r="J518" s="227">
        <v>0</v>
      </c>
      <c r="K518" s="252"/>
      <c r="L518" s="253">
        <f t="shared" si="93"/>
      </c>
      <c r="M518" s="239">
        <f t="shared" si="94"/>
      </c>
    </row>
    <row r="519" spans="1:13" ht="12.75" hidden="1">
      <c r="A519" s="223">
        <f t="shared" si="95"/>
      </c>
      <c r="B519" s="224">
        <f t="shared" si="96"/>
      </c>
      <c r="C519" s="224">
        <f t="shared" si="97"/>
      </c>
      <c r="D519" s="235">
        <f t="shared" si="90"/>
      </c>
      <c r="E519" s="224">
        <f t="shared" si="91"/>
      </c>
      <c r="F519" s="224">
        <f t="shared" si="98"/>
      </c>
      <c r="G519" s="224">
        <f t="shared" si="99"/>
      </c>
      <c r="H519" s="224">
        <f t="shared" si="100"/>
      </c>
      <c r="I519" s="224">
        <f t="shared" si="92"/>
      </c>
      <c r="J519" s="227">
        <v>0</v>
      </c>
      <c r="K519" s="252"/>
      <c r="L519" s="253">
        <f t="shared" si="93"/>
      </c>
      <c r="M519" s="239">
        <f t="shared" si="94"/>
      </c>
    </row>
    <row r="520" spans="1:13" ht="12.75" hidden="1">
      <c r="A520" s="223">
        <f t="shared" si="95"/>
      </c>
      <c r="B520" s="224">
        <f t="shared" si="96"/>
      </c>
      <c r="C520" s="224">
        <f t="shared" si="97"/>
      </c>
      <c r="D520" s="235">
        <f t="shared" si="90"/>
      </c>
      <c r="E520" s="224">
        <f t="shared" si="91"/>
      </c>
      <c r="F520" s="224">
        <f t="shared" si="98"/>
      </c>
      <c r="G520" s="224">
        <f t="shared" si="99"/>
      </c>
      <c r="H520" s="224">
        <f t="shared" si="100"/>
      </c>
      <c r="I520" s="224">
        <f t="shared" si="92"/>
      </c>
      <c r="J520" s="227">
        <v>0</v>
      </c>
      <c r="K520" s="252"/>
      <c r="L520" s="253">
        <f t="shared" si="93"/>
      </c>
      <c r="M520" s="239">
        <f t="shared" si="94"/>
      </c>
    </row>
    <row r="521" spans="1:13" ht="12.75" hidden="1">
      <c r="A521" s="223">
        <f t="shared" si="95"/>
      </c>
      <c r="B521" s="224">
        <f t="shared" si="96"/>
      </c>
      <c r="C521" s="224">
        <f t="shared" si="97"/>
      </c>
      <c r="D521" s="235">
        <f t="shared" si="90"/>
      </c>
      <c r="E521" s="224">
        <f t="shared" si="91"/>
      </c>
      <c r="F521" s="224">
        <f t="shared" si="98"/>
      </c>
      <c r="G521" s="224">
        <f t="shared" si="99"/>
      </c>
      <c r="H521" s="224">
        <f t="shared" si="100"/>
      </c>
      <c r="I521" s="224">
        <f t="shared" si="92"/>
      </c>
      <c r="J521" s="227">
        <v>0</v>
      </c>
      <c r="K521" s="252"/>
      <c r="L521" s="253">
        <f t="shared" si="93"/>
      </c>
      <c r="M521" s="239">
        <f t="shared" si="94"/>
      </c>
    </row>
    <row r="522" spans="1:13" ht="12.75" hidden="1">
      <c r="A522" s="223">
        <f t="shared" si="95"/>
      </c>
      <c r="B522" s="224">
        <f t="shared" si="96"/>
      </c>
      <c r="C522" s="224">
        <f t="shared" si="97"/>
      </c>
      <c r="D522" s="235">
        <f t="shared" si="90"/>
      </c>
      <c r="E522" s="224">
        <f t="shared" si="91"/>
      </c>
      <c r="F522" s="224">
        <f t="shared" si="98"/>
      </c>
      <c r="G522" s="224">
        <f t="shared" si="99"/>
      </c>
      <c r="H522" s="224">
        <f t="shared" si="100"/>
      </c>
      <c r="I522" s="224">
        <f t="shared" si="92"/>
      </c>
      <c r="J522" s="227">
        <v>0</v>
      </c>
      <c r="K522" s="252"/>
      <c r="L522" s="253">
        <f t="shared" si="93"/>
      </c>
      <c r="M522" s="239">
        <f t="shared" si="94"/>
      </c>
    </row>
    <row r="523" spans="1:13" ht="12.75" hidden="1">
      <c r="A523" s="223">
        <f t="shared" si="95"/>
      </c>
      <c r="B523" s="224">
        <f t="shared" si="96"/>
      </c>
      <c r="C523" s="224">
        <f t="shared" si="97"/>
      </c>
      <c r="D523" s="235">
        <f t="shared" si="90"/>
      </c>
      <c r="E523" s="224">
        <f t="shared" si="91"/>
      </c>
      <c r="F523" s="224">
        <f t="shared" si="98"/>
      </c>
      <c r="G523" s="224">
        <f t="shared" si="99"/>
      </c>
      <c r="H523" s="224">
        <f t="shared" si="100"/>
      </c>
      <c r="I523" s="224">
        <f t="shared" si="92"/>
      </c>
      <c r="J523" s="227">
        <v>0</v>
      </c>
      <c r="K523" s="252"/>
      <c r="L523" s="253">
        <f t="shared" si="93"/>
      </c>
      <c r="M523" s="239">
        <f t="shared" si="94"/>
      </c>
    </row>
    <row r="524" spans="1:13" ht="12.75" hidden="1">
      <c r="A524" s="223">
        <f t="shared" si="95"/>
      </c>
      <c r="B524" s="224">
        <f t="shared" si="96"/>
      </c>
      <c r="C524" s="224">
        <f t="shared" si="97"/>
      </c>
      <c r="D524" s="235">
        <f t="shared" si="90"/>
      </c>
      <c r="E524" s="224">
        <f t="shared" si="91"/>
      </c>
      <c r="F524" s="224">
        <f t="shared" si="98"/>
      </c>
      <c r="G524" s="224">
        <f t="shared" si="99"/>
      </c>
      <c r="H524" s="224">
        <f t="shared" si="100"/>
      </c>
      <c r="I524" s="224">
        <f t="shared" si="92"/>
      </c>
      <c r="J524" s="227">
        <v>0</v>
      </c>
      <c r="K524" s="252"/>
      <c r="L524" s="253">
        <f t="shared" si="93"/>
      </c>
      <c r="M524" s="239">
        <f t="shared" si="94"/>
      </c>
    </row>
    <row r="525" spans="1:13" ht="12.75" hidden="1">
      <c r="A525" s="223">
        <f t="shared" si="95"/>
      </c>
      <c r="B525" s="224">
        <f t="shared" si="96"/>
      </c>
      <c r="C525" s="224">
        <f t="shared" si="97"/>
      </c>
      <c r="D525" s="235">
        <f t="shared" si="90"/>
      </c>
      <c r="E525" s="224">
        <f t="shared" si="91"/>
      </c>
      <c r="F525" s="224">
        <f t="shared" si="98"/>
      </c>
      <c r="G525" s="224">
        <f t="shared" si="99"/>
      </c>
      <c r="H525" s="224">
        <f t="shared" si="100"/>
      </c>
      <c r="I525" s="224">
        <f t="shared" si="92"/>
      </c>
      <c r="J525" s="227">
        <v>0</v>
      </c>
      <c r="K525" s="252"/>
      <c r="L525" s="253">
        <f t="shared" si="93"/>
      </c>
      <c r="M525" s="239">
        <f t="shared" si="94"/>
      </c>
    </row>
    <row r="526" spans="1:13" ht="12.75" hidden="1">
      <c r="A526" s="223">
        <f t="shared" si="95"/>
      </c>
      <c r="B526" s="224">
        <f t="shared" si="96"/>
      </c>
      <c r="C526" s="224">
        <f t="shared" si="97"/>
      </c>
      <c r="D526" s="235">
        <f t="shared" si="90"/>
      </c>
      <c r="E526" s="224">
        <f t="shared" si="91"/>
      </c>
      <c r="F526" s="224">
        <f t="shared" si="98"/>
      </c>
      <c r="G526" s="224">
        <f t="shared" si="99"/>
      </c>
      <c r="H526" s="224">
        <f t="shared" si="100"/>
      </c>
      <c r="I526" s="224">
        <f t="shared" si="92"/>
      </c>
      <c r="J526" s="227">
        <v>0</v>
      </c>
      <c r="K526" s="252"/>
      <c r="L526" s="253">
        <f t="shared" si="93"/>
      </c>
      <c r="M526" s="239">
        <f t="shared" si="94"/>
      </c>
    </row>
    <row r="527" spans="1:13" ht="12.75" hidden="1">
      <c r="A527" s="223">
        <f t="shared" si="95"/>
      </c>
      <c r="B527" s="224">
        <f t="shared" si="96"/>
      </c>
      <c r="C527" s="224">
        <f t="shared" si="97"/>
      </c>
      <c r="D527" s="235">
        <f t="shared" si="90"/>
      </c>
      <c r="E527" s="224">
        <f t="shared" si="91"/>
      </c>
      <c r="F527" s="224">
        <f t="shared" si="98"/>
      </c>
      <c r="G527" s="224">
        <f t="shared" si="99"/>
      </c>
      <c r="H527" s="224">
        <f t="shared" si="100"/>
      </c>
      <c r="I527" s="224">
        <f t="shared" si="92"/>
      </c>
      <c r="J527" s="227">
        <v>0</v>
      </c>
      <c r="K527" s="252"/>
      <c r="L527" s="253">
        <f t="shared" si="93"/>
      </c>
      <c r="M527" s="239">
        <f t="shared" si="94"/>
      </c>
    </row>
    <row r="528" spans="1:13" ht="12.75" hidden="1">
      <c r="A528" s="223">
        <f t="shared" si="95"/>
      </c>
      <c r="B528" s="224">
        <f t="shared" si="96"/>
      </c>
      <c r="C528" s="224">
        <f t="shared" si="97"/>
      </c>
      <c r="D528" s="235">
        <f t="shared" si="90"/>
      </c>
      <c r="E528" s="224">
        <f t="shared" si="91"/>
      </c>
      <c r="F528" s="224">
        <f t="shared" si="98"/>
      </c>
      <c r="G528" s="224">
        <f t="shared" si="99"/>
      </c>
      <c r="H528" s="224">
        <f t="shared" si="100"/>
      </c>
      <c r="I528" s="224">
        <f t="shared" si="92"/>
      </c>
      <c r="J528" s="227">
        <v>0</v>
      </c>
      <c r="K528" s="252"/>
      <c r="L528" s="253">
        <f t="shared" si="93"/>
      </c>
      <c r="M528" s="239">
        <f t="shared" si="94"/>
      </c>
    </row>
    <row r="529" spans="1:13" ht="12.75" hidden="1">
      <c r="A529" s="223">
        <f t="shared" si="95"/>
      </c>
      <c r="B529" s="224">
        <f t="shared" si="96"/>
      </c>
      <c r="C529" s="224">
        <f t="shared" si="97"/>
      </c>
      <c r="D529" s="235">
        <f t="shared" si="90"/>
      </c>
      <c r="E529" s="224">
        <f t="shared" si="91"/>
      </c>
      <c r="F529" s="224">
        <f t="shared" si="98"/>
      </c>
      <c r="G529" s="224">
        <f t="shared" si="99"/>
      </c>
      <c r="H529" s="224">
        <f t="shared" si="100"/>
      </c>
      <c r="I529" s="224">
        <f t="shared" si="92"/>
      </c>
      <c r="J529" s="227">
        <v>0</v>
      </c>
      <c r="K529" s="252"/>
      <c r="L529" s="253">
        <f t="shared" si="93"/>
      </c>
      <c r="M529" s="239">
        <f t="shared" si="94"/>
      </c>
    </row>
    <row r="530" spans="1:13" ht="12.75" hidden="1">
      <c r="A530" s="223">
        <f t="shared" si="95"/>
      </c>
      <c r="B530" s="224">
        <f t="shared" si="96"/>
      </c>
      <c r="C530" s="224">
        <f t="shared" si="97"/>
      </c>
      <c r="D530" s="235">
        <f t="shared" si="90"/>
      </c>
      <c r="E530" s="224">
        <f t="shared" si="91"/>
      </c>
      <c r="F530" s="224">
        <f t="shared" si="98"/>
      </c>
      <c r="G530" s="224">
        <f t="shared" si="99"/>
      </c>
      <c r="H530" s="224">
        <f t="shared" si="100"/>
      </c>
      <c r="I530" s="224">
        <f t="shared" si="92"/>
      </c>
      <c r="J530" s="227">
        <v>0</v>
      </c>
      <c r="K530" s="252"/>
      <c r="L530" s="253">
        <f t="shared" si="93"/>
      </c>
      <c r="M530" s="239">
        <f t="shared" si="94"/>
      </c>
    </row>
    <row r="531" spans="1:13" ht="12.75" hidden="1">
      <c r="A531" s="223">
        <f t="shared" si="95"/>
      </c>
      <c r="B531" s="224">
        <f t="shared" si="96"/>
      </c>
      <c r="C531" s="224">
        <f t="shared" si="97"/>
      </c>
      <c r="D531" s="235">
        <f t="shared" si="90"/>
      </c>
      <c r="E531" s="224">
        <f t="shared" si="91"/>
      </c>
      <c r="F531" s="224">
        <f t="shared" si="98"/>
      </c>
      <c r="G531" s="224">
        <f t="shared" si="99"/>
      </c>
      <c r="H531" s="224">
        <f t="shared" si="100"/>
      </c>
      <c r="I531" s="224">
        <f t="shared" si="92"/>
      </c>
      <c r="J531" s="227">
        <v>0</v>
      </c>
      <c r="K531" s="252"/>
      <c r="L531" s="253">
        <f t="shared" si="93"/>
      </c>
      <c r="M531" s="239">
        <f t="shared" si="94"/>
      </c>
    </row>
    <row r="532" spans="1:13" ht="12.75" hidden="1">
      <c r="A532" s="223">
        <f t="shared" si="95"/>
      </c>
      <c r="B532" s="224">
        <f t="shared" si="96"/>
      </c>
      <c r="C532" s="224">
        <f t="shared" si="97"/>
      </c>
      <c r="D532" s="235">
        <f t="shared" si="90"/>
      </c>
      <c r="E532" s="224">
        <f t="shared" si="91"/>
      </c>
      <c r="F532" s="224">
        <f t="shared" si="98"/>
      </c>
      <c r="G532" s="224">
        <f t="shared" si="99"/>
      </c>
      <c r="H532" s="224">
        <f t="shared" si="100"/>
      </c>
      <c r="I532" s="224">
        <f t="shared" si="92"/>
      </c>
      <c r="J532" s="227">
        <v>0</v>
      </c>
      <c r="K532" s="252"/>
      <c r="L532" s="253">
        <f t="shared" si="93"/>
      </c>
      <c r="M532" s="239">
        <f t="shared" si="94"/>
      </c>
    </row>
    <row r="533" spans="1:13" ht="12.75" hidden="1">
      <c r="A533" s="223">
        <f t="shared" si="95"/>
      </c>
      <c r="B533" s="224">
        <f t="shared" si="96"/>
      </c>
      <c r="C533" s="224">
        <f t="shared" si="97"/>
      </c>
      <c r="D533" s="235">
        <f t="shared" si="90"/>
      </c>
      <c r="E533" s="224">
        <f t="shared" si="91"/>
      </c>
      <c r="F533" s="224">
        <f t="shared" si="98"/>
      </c>
      <c r="G533" s="224">
        <f t="shared" si="99"/>
      </c>
      <c r="H533" s="224">
        <f t="shared" si="100"/>
      </c>
      <c r="I533" s="224">
        <f t="shared" si="92"/>
      </c>
      <c r="J533" s="227">
        <v>0</v>
      </c>
      <c r="K533" s="252"/>
      <c r="L533" s="253">
        <f t="shared" si="93"/>
      </c>
      <c r="M533" s="239">
        <f t="shared" si="94"/>
      </c>
    </row>
    <row r="534" spans="1:13" ht="12.75" hidden="1">
      <c r="A534" s="223">
        <f t="shared" si="95"/>
      </c>
      <c r="B534" s="224">
        <f t="shared" si="96"/>
      </c>
      <c r="C534" s="224">
        <f t="shared" si="97"/>
      </c>
      <c r="D534" s="235">
        <f t="shared" si="90"/>
      </c>
      <c r="E534" s="224">
        <f t="shared" si="91"/>
      </c>
      <c r="F534" s="224">
        <f t="shared" si="98"/>
      </c>
      <c r="G534" s="224">
        <f t="shared" si="99"/>
      </c>
      <c r="H534" s="224">
        <f t="shared" si="100"/>
      </c>
      <c r="I534" s="224">
        <f t="shared" si="92"/>
      </c>
      <c r="J534" s="227">
        <v>0</v>
      </c>
      <c r="K534" s="252"/>
      <c r="L534" s="253">
        <f t="shared" si="93"/>
      </c>
      <c r="M534" s="239">
        <f t="shared" si="94"/>
      </c>
    </row>
    <row r="535" spans="1:13" ht="12.75" hidden="1">
      <c r="A535" s="223">
        <f t="shared" si="95"/>
      </c>
      <c r="B535" s="224">
        <f t="shared" si="96"/>
      </c>
      <c r="C535" s="224">
        <f t="shared" si="97"/>
      </c>
      <c r="D535" s="235">
        <f t="shared" si="90"/>
      </c>
      <c r="E535" s="224">
        <f t="shared" si="91"/>
      </c>
      <c r="F535" s="224">
        <f t="shared" si="98"/>
      </c>
      <c r="G535" s="224">
        <f t="shared" si="99"/>
      </c>
      <c r="H535" s="224">
        <f t="shared" si="100"/>
      </c>
      <c r="I535" s="224">
        <f t="shared" si="92"/>
      </c>
      <c r="J535" s="227">
        <v>0</v>
      </c>
      <c r="K535" s="252"/>
      <c r="L535" s="253">
        <f t="shared" si="93"/>
      </c>
      <c r="M535" s="239">
        <f t="shared" si="94"/>
      </c>
    </row>
    <row r="536" spans="1:13" ht="12.75" hidden="1">
      <c r="A536" s="223">
        <f t="shared" si="95"/>
      </c>
      <c r="B536" s="224">
        <f t="shared" si="96"/>
      </c>
      <c r="C536" s="224">
        <f t="shared" si="97"/>
      </c>
      <c r="D536" s="235">
        <f t="shared" si="90"/>
      </c>
      <c r="E536" s="224">
        <f t="shared" si="91"/>
      </c>
      <c r="F536" s="224">
        <f t="shared" si="98"/>
      </c>
      <c r="G536" s="224">
        <f t="shared" si="99"/>
      </c>
      <c r="H536" s="224">
        <f t="shared" si="100"/>
      </c>
      <c r="I536" s="224">
        <f t="shared" si="92"/>
      </c>
      <c r="J536" s="227">
        <v>0</v>
      </c>
      <c r="K536" s="252"/>
      <c r="L536" s="253">
        <f t="shared" si="93"/>
      </c>
      <c r="M536" s="239">
        <f t="shared" si="94"/>
      </c>
    </row>
    <row r="537" ht="12.75" hidden="1">
      <c r="M537" s="46"/>
    </row>
    <row r="538" ht="12.75" hidden="1">
      <c r="M538" s="46"/>
    </row>
    <row r="539" ht="12.75" hidden="1">
      <c r="M539" s="46"/>
    </row>
    <row r="540" ht="12.75" hidden="1">
      <c r="M540" s="46"/>
    </row>
    <row r="541" ht="12.75" hidden="1">
      <c r="M541" s="46"/>
    </row>
    <row r="542" ht="12.75" hidden="1">
      <c r="M542" s="46"/>
    </row>
    <row r="543" ht="12.75" hidden="1">
      <c r="M543" s="46"/>
    </row>
    <row r="544" ht="12.75" hidden="1">
      <c r="M544" s="46"/>
    </row>
    <row r="545" ht="12.75" hidden="1">
      <c r="M545" s="46"/>
    </row>
    <row r="546" ht="12.75" hidden="1">
      <c r="M546" s="46"/>
    </row>
    <row r="547" ht="12.75" hidden="1">
      <c r="M547" s="46"/>
    </row>
    <row r="548" ht="12.75" hidden="1">
      <c r="M548" s="46"/>
    </row>
    <row r="549" ht="12.75" hidden="1">
      <c r="M549" s="46"/>
    </row>
    <row r="550" ht="12.75" hidden="1">
      <c r="M550" s="46"/>
    </row>
    <row r="551" ht="12.75" hidden="1">
      <c r="M551" s="46"/>
    </row>
    <row r="552" ht="12.75" hidden="1">
      <c r="M552" s="46"/>
    </row>
    <row r="553" ht="12.75" hidden="1">
      <c r="M553" s="46"/>
    </row>
    <row r="554" ht="12.75" hidden="1">
      <c r="M554" s="46"/>
    </row>
    <row r="555" ht="12.75" hidden="1">
      <c r="M555" s="46"/>
    </row>
    <row r="556" ht="12.75" hidden="1">
      <c r="M556" s="46"/>
    </row>
    <row r="557" ht="12.75" hidden="1">
      <c r="M557" s="46"/>
    </row>
    <row r="558" ht="12.75" hidden="1">
      <c r="M558" s="46"/>
    </row>
    <row r="559" ht="12.75" hidden="1">
      <c r="M559" s="46"/>
    </row>
    <row r="560" ht="12.75" hidden="1">
      <c r="M560" s="46"/>
    </row>
    <row r="561" ht="12.75" hidden="1">
      <c r="M561" s="46"/>
    </row>
    <row r="562" ht="12.75" hidden="1">
      <c r="M562" s="46"/>
    </row>
    <row r="563" ht="12.75" hidden="1">
      <c r="M563" s="46"/>
    </row>
    <row r="564" ht="12.75" hidden="1">
      <c r="M564" s="46"/>
    </row>
    <row r="565" ht="12.75" hidden="1">
      <c r="M565" s="46"/>
    </row>
    <row r="566" ht="12.75" hidden="1">
      <c r="M566" s="46"/>
    </row>
    <row r="567" ht="12.75" hidden="1">
      <c r="M567" s="46"/>
    </row>
    <row r="568" ht="12.75" hidden="1">
      <c r="M568" s="46"/>
    </row>
    <row r="569" ht="12.75" hidden="1">
      <c r="M569" s="46"/>
    </row>
    <row r="570" ht="12.75" hidden="1">
      <c r="M570" s="46"/>
    </row>
    <row r="571" ht="12.75" hidden="1">
      <c r="M571" s="46"/>
    </row>
    <row r="572" ht="12.75" hidden="1">
      <c r="M572" s="46"/>
    </row>
    <row r="573" ht="12.75" hidden="1">
      <c r="M573" s="46"/>
    </row>
    <row r="574" ht="12.75" hidden="1">
      <c r="M574" s="46"/>
    </row>
    <row r="575" ht="12.75" hidden="1">
      <c r="M575" s="46"/>
    </row>
    <row r="576" ht="12.75" hidden="1">
      <c r="M576" s="46"/>
    </row>
    <row r="577" ht="12.75" hidden="1">
      <c r="M577" s="46"/>
    </row>
    <row r="578" ht="12.75" hidden="1">
      <c r="M578" s="46"/>
    </row>
    <row r="579" ht="12.75" hidden="1">
      <c r="M579" s="46"/>
    </row>
    <row r="580" ht="12.75" hidden="1">
      <c r="M580" s="46"/>
    </row>
    <row r="581" ht="12.75" hidden="1">
      <c r="M581" s="46"/>
    </row>
    <row r="582" ht="12.75" hidden="1">
      <c r="M582" s="46"/>
    </row>
    <row r="583" ht="12.75" hidden="1">
      <c r="M583" s="46"/>
    </row>
    <row r="584" ht="12.75" hidden="1">
      <c r="M584" s="46"/>
    </row>
    <row r="585" ht="12.75" hidden="1">
      <c r="M585" s="46"/>
    </row>
    <row r="586" ht="12.75" hidden="1">
      <c r="M586" s="46"/>
    </row>
    <row r="587" ht="12.75" hidden="1">
      <c r="M587" s="46"/>
    </row>
    <row r="588" ht="12.75" hidden="1">
      <c r="M588" s="46"/>
    </row>
    <row r="589" ht="12.75" hidden="1">
      <c r="M589" s="46"/>
    </row>
    <row r="590" ht="12.75" hidden="1">
      <c r="M590" s="46"/>
    </row>
    <row r="591" ht="12.75" hidden="1">
      <c r="M591" s="46"/>
    </row>
    <row r="592" ht="12.75">
      <c r="M592" s="46"/>
    </row>
  </sheetData>
  <sheetProtection password="ED5F" sheet="1"/>
  <mergeCells count="11">
    <mergeCell ref="A4:L4"/>
    <mergeCell ref="B45:K45"/>
    <mergeCell ref="AF21:AH21"/>
    <mergeCell ref="AF22:AI22"/>
    <mergeCell ref="AR38:AV38"/>
    <mergeCell ref="B41:K41"/>
    <mergeCell ref="B42:K42"/>
    <mergeCell ref="B44:K44"/>
    <mergeCell ref="B43:K43"/>
    <mergeCell ref="A54:L54"/>
    <mergeCell ref="N54:N55"/>
  </mergeCells>
  <dataValidations count="1">
    <dataValidation type="list" allowBlank="1" showInputMessage="1" showErrorMessage="1" sqref="AN57">
      <formula1>$AN$35:$AN$37</formula1>
    </dataValidation>
  </dataValidations>
  <printOptions horizontalCentered="1"/>
  <pageMargins left="0" right="0" top="0" bottom="0" header="0" footer="0"/>
  <pageSetup fitToHeight="4" fitToWidth="1" horizontalDpi="600" verticalDpi="600" orientation="landscape" scale="60" r:id="rId3"/>
  <headerFooter alignWithMargins="0">
    <oddFooter>&amp;LRESTRICTED</oddFooter>
    <evenFooter>&amp;LRESTRICTED</evenFooter>
    <firstFooter>&amp;LRESTRICTED</firstFooter>
  </headerFooter>
  <ignoredErrors>
    <ignoredError sqref="G29" formula="1"/>
    <ignoredError sqref="J51 J53" unlockedFormula="1"/>
    <ignoredError sqref="I52 I53 I51 B53:D53" evalError="1" unlockedFormula="1"/>
  </ignoredErrors>
  <drawing r:id="rId2"/>
  <legacy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M76"/>
  <sheetViews>
    <sheetView showGridLines="0" showRowColHeaders="0" tabSelected="1" zoomScalePageLayoutView="0" workbookViewId="0" topLeftCell="A3">
      <selection activeCell="A12" sqref="A12"/>
    </sheetView>
  </sheetViews>
  <sheetFormatPr defaultColWidth="0" defaultRowHeight="15" zeroHeight="1"/>
  <cols>
    <col min="1" max="1" width="10.140625" style="19" customWidth="1"/>
    <col min="2" max="2" width="82.421875" style="19" customWidth="1"/>
    <col min="3" max="10" width="10.8515625" style="19" customWidth="1"/>
    <col min="11" max="13" width="11.421875" style="19" customWidth="1"/>
    <col min="14" max="16384" width="11.421875" style="19" hidden="1" customWidth="1"/>
  </cols>
  <sheetData>
    <row r="1" spans="2:5" s="38" customFormat="1" ht="15" hidden="1">
      <c r="B1" s="18" t="s">
        <v>5</v>
      </c>
      <c r="C1" s="17"/>
      <c r="D1" s="17"/>
      <c r="E1" s="17"/>
    </row>
    <row r="2" spans="2:5" s="38" customFormat="1" ht="15" hidden="1">
      <c r="B2" s="18" t="s">
        <v>6</v>
      </c>
      <c r="C2" s="17"/>
      <c r="D2" s="17"/>
      <c r="E2" s="17"/>
    </row>
    <row r="3" spans="2:5" s="38" customFormat="1" ht="15">
      <c r="B3" s="18" t="s">
        <v>7</v>
      </c>
      <c r="C3" s="17"/>
      <c r="D3" s="17"/>
      <c r="E3" s="17"/>
    </row>
    <row r="4" spans="2:5" s="38" customFormat="1" ht="15">
      <c r="B4" s="18" t="s">
        <v>2</v>
      </c>
      <c r="C4" s="20">
        <f>C15/C20</f>
        <v>0.6</v>
      </c>
      <c r="D4" s="17"/>
      <c r="E4" s="17"/>
    </row>
    <row r="5" spans="2:5" s="38" customFormat="1" ht="15">
      <c r="B5" s="21">
        <f ca="1">TODAY()</f>
        <v>42884</v>
      </c>
      <c r="C5" s="17"/>
      <c r="D5" s="17"/>
      <c r="E5" s="17"/>
    </row>
    <row r="6" spans="1:5" ht="15" hidden="1">
      <c r="A6" s="17"/>
      <c r="B6" s="18">
        <f>MONTH(B5)</f>
        <v>5</v>
      </c>
      <c r="C6" s="17"/>
      <c r="D6" s="17"/>
      <c r="E6" s="17"/>
    </row>
    <row r="7" spans="1:5" ht="15" hidden="1">
      <c r="A7" s="17"/>
      <c r="B7" s="18">
        <f>YEAR(B5)</f>
        <v>2017</v>
      </c>
      <c r="C7" s="17"/>
      <c r="D7" s="17"/>
      <c r="E7" s="17"/>
    </row>
    <row r="8" ht="15">
      <c r="B8" s="38"/>
    </row>
    <row r="9" spans="2:12" ht="23.25">
      <c r="B9" s="308" t="s">
        <v>23</v>
      </c>
      <c r="K9" s="25" t="s">
        <v>43</v>
      </c>
      <c r="L9" s="44">
        <f ca="1">TODAY()</f>
        <v>42884</v>
      </c>
    </row>
    <row r="10" spans="2:12" ht="23.25">
      <c r="B10" s="310" t="s">
        <v>168</v>
      </c>
      <c r="K10" s="364" t="s">
        <v>172</v>
      </c>
      <c r="L10" s="364"/>
    </row>
    <row r="11" ht="15">
      <c r="B11" s="35" t="s">
        <v>41</v>
      </c>
    </row>
    <row r="12" ht="23.25">
      <c r="B12" s="22"/>
    </row>
    <row r="13" ht="23.25">
      <c r="B13" s="22" t="s">
        <v>35</v>
      </c>
    </row>
    <row r="14" spans="2:13" ht="27.75" customHeight="1">
      <c r="B14" s="312" t="s">
        <v>38</v>
      </c>
      <c r="C14" s="377">
        <v>1500000</v>
      </c>
      <c r="D14" s="312"/>
      <c r="E14" s="312"/>
      <c r="F14" s="312"/>
      <c r="G14" s="312"/>
      <c r="H14" s="312"/>
      <c r="I14" s="312"/>
      <c r="J14" s="312"/>
      <c r="K14" s="312"/>
      <c r="L14" s="312"/>
      <c r="M14" s="312"/>
    </row>
    <row r="15" spans="2:13" ht="27.75" customHeight="1">
      <c r="B15" s="313" t="s">
        <v>29</v>
      </c>
      <c r="C15" s="377">
        <v>1200000</v>
      </c>
      <c r="D15" s="369">
        <f>IF(ISERROR(IF(C4&gt;85%,"Solo podemos financiarle como máximo el 85% del valor del inmueble, por lo que de existir alguna diferencia deberá ser cubierta por parte del cliente","")),"",IF(C4&gt;85%,"Solo podemos financiarle como máximo el 85% del valor del inmueble, por lo que de existir alguna diferencia deberá ser cubierta por parte del cliente",""))</f>
      </c>
      <c r="E15" s="369"/>
      <c r="F15" s="369"/>
      <c r="G15" s="369"/>
      <c r="H15" s="369"/>
      <c r="I15" s="369"/>
      <c r="J15" s="369"/>
      <c r="K15" s="369"/>
      <c r="L15" s="369"/>
      <c r="M15" s="369"/>
    </row>
    <row r="16" spans="2:13" ht="27.75" customHeight="1">
      <c r="B16" s="312" t="s">
        <v>30</v>
      </c>
      <c r="C16" s="337">
        <v>0.12</v>
      </c>
      <c r="D16" s="312"/>
      <c r="E16" s="312"/>
      <c r="F16" s="312"/>
      <c r="G16" s="312"/>
      <c r="H16" s="312"/>
      <c r="I16" s="312"/>
      <c r="J16" s="312"/>
      <c r="K16" s="312"/>
      <c r="L16" s="312"/>
      <c r="M16" s="312"/>
    </row>
    <row r="17" spans="2:13" ht="27.75" customHeight="1">
      <c r="B17" s="312" t="s">
        <v>31</v>
      </c>
      <c r="C17" s="336">
        <v>20</v>
      </c>
      <c r="D17" s="312" t="s">
        <v>26</v>
      </c>
      <c r="E17" s="312"/>
      <c r="F17" s="312"/>
      <c r="G17" s="312"/>
      <c r="H17" s="312"/>
      <c r="I17" s="312"/>
      <c r="J17" s="312"/>
      <c r="K17" s="312"/>
      <c r="L17" s="312"/>
      <c r="M17" s="312"/>
    </row>
    <row r="18" spans="2:13" ht="27.75" customHeight="1">
      <c r="B18" s="312"/>
      <c r="C18" s="376">
        <f>C17*12</f>
        <v>240</v>
      </c>
      <c r="D18" s="314" t="s">
        <v>27</v>
      </c>
      <c r="E18" s="312"/>
      <c r="F18" s="312"/>
      <c r="G18" s="312"/>
      <c r="H18" s="312"/>
      <c r="I18" s="312"/>
      <c r="J18" s="312"/>
      <c r="K18" s="312"/>
      <c r="L18" s="312"/>
      <c r="M18" s="312"/>
    </row>
    <row r="19" spans="2:13" ht="27.75" customHeight="1">
      <c r="B19" s="312" t="s">
        <v>32</v>
      </c>
      <c r="C19" s="338">
        <v>2010</v>
      </c>
      <c r="D19" s="312"/>
      <c r="E19" s="312"/>
      <c r="F19" s="312"/>
      <c r="G19" s="312"/>
      <c r="H19" s="312"/>
      <c r="I19" s="312"/>
      <c r="J19" s="312"/>
      <c r="K19" s="312"/>
      <c r="L19" s="312"/>
      <c r="M19" s="312"/>
    </row>
    <row r="20" spans="2:13" ht="27.75" customHeight="1">
      <c r="B20" s="312" t="s">
        <v>33</v>
      </c>
      <c r="C20" s="377">
        <v>2000000</v>
      </c>
      <c r="D20" s="367"/>
      <c r="E20" s="367"/>
      <c r="F20" s="367"/>
      <c r="G20" s="367"/>
      <c r="H20" s="367"/>
      <c r="I20" s="367"/>
      <c r="J20" s="367"/>
      <c r="K20" s="367"/>
      <c r="L20" s="367"/>
      <c r="M20" s="367"/>
    </row>
    <row r="21" spans="2:13" ht="30.75" customHeight="1">
      <c r="B21" s="312" t="s">
        <v>37</v>
      </c>
      <c r="C21" s="376">
        <f>IF(C19="","",((((B7-C19)-1)*12)+B6)+12)</f>
        <v>89</v>
      </c>
      <c r="D21" s="312"/>
      <c r="E21" s="312"/>
      <c r="F21" s="312"/>
      <c r="G21" s="312"/>
      <c r="H21" s="312"/>
      <c r="I21" s="312"/>
      <c r="J21" s="312"/>
      <c r="K21" s="312"/>
      <c r="L21" s="312"/>
      <c r="M21" s="312"/>
    </row>
    <row r="22" spans="2:13" ht="27.75" customHeight="1">
      <c r="B22" s="312" t="s">
        <v>24</v>
      </c>
      <c r="C22" s="376">
        <f>IF(C21="","",(C17*12)-C21)</f>
        <v>151</v>
      </c>
      <c r="D22" s="312"/>
      <c r="E22" s="312"/>
      <c r="F22" s="312"/>
      <c r="G22" s="312"/>
      <c r="H22" s="312"/>
      <c r="I22" s="312"/>
      <c r="J22" s="312"/>
      <c r="K22" s="312"/>
      <c r="L22" s="312"/>
      <c r="M22" s="312"/>
    </row>
    <row r="23" spans="2:13" ht="27.75" customHeight="1">
      <c r="B23" s="312" t="s">
        <v>0</v>
      </c>
      <c r="C23" s="339">
        <f>IF(ISERROR(PMT(C16/12,C17*12,-C14,0,0)),"",PMT(C16/12,C17*12,-C14,0,0))</f>
        <v>16516.29200354415</v>
      </c>
      <c r="D23" s="312"/>
      <c r="E23" s="312"/>
      <c r="F23" s="312"/>
      <c r="G23" s="312"/>
      <c r="H23" s="312"/>
      <c r="I23" s="312"/>
      <c r="J23" s="312"/>
      <c r="K23" s="312"/>
      <c r="L23" s="312"/>
      <c r="M23" s="312"/>
    </row>
    <row r="24" spans="2:13" ht="15">
      <c r="B24" s="312"/>
      <c r="C24" s="312"/>
      <c r="D24" s="312"/>
      <c r="E24" s="312"/>
      <c r="F24" s="312"/>
      <c r="G24" s="312"/>
      <c r="H24" s="312"/>
      <c r="I24" s="312"/>
      <c r="J24" s="312"/>
      <c r="K24" s="312"/>
      <c r="L24" s="312"/>
      <c r="M24" s="312"/>
    </row>
    <row r="25" spans="2:13" ht="15">
      <c r="B25" s="312"/>
      <c r="C25" s="312"/>
      <c r="D25" s="312"/>
      <c r="E25" s="312"/>
      <c r="F25" s="312"/>
      <c r="G25" s="312"/>
      <c r="H25" s="312"/>
      <c r="I25" s="312"/>
      <c r="J25" s="312"/>
      <c r="K25" s="312"/>
      <c r="L25" s="312"/>
      <c r="M25" s="312"/>
    </row>
    <row r="26" spans="2:13" ht="23.25">
      <c r="B26" s="315" t="s">
        <v>16</v>
      </c>
      <c r="C26" s="312"/>
      <c r="D26" s="312"/>
      <c r="E26" s="312"/>
      <c r="F26" s="312"/>
      <c r="G26" s="312"/>
      <c r="H26" s="312"/>
      <c r="I26" s="312"/>
      <c r="J26" s="312"/>
      <c r="K26" s="312"/>
      <c r="L26" s="312"/>
      <c r="M26" s="312"/>
    </row>
    <row r="27" spans="2:13" ht="15">
      <c r="B27" s="316" t="s">
        <v>28</v>
      </c>
      <c r="C27" s="378">
        <f>C15</f>
        <v>1200000</v>
      </c>
      <c r="D27" s="312"/>
      <c r="E27" s="312"/>
      <c r="F27" s="312"/>
      <c r="G27" s="312"/>
      <c r="H27" s="312"/>
      <c r="I27" s="312"/>
      <c r="J27" s="312"/>
      <c r="K27" s="312"/>
      <c r="L27" s="312"/>
      <c r="M27" s="312"/>
    </row>
    <row r="28" spans="2:13" ht="15">
      <c r="B28" s="368" t="s">
        <v>25</v>
      </c>
      <c r="C28" s="368"/>
      <c r="D28" s="368"/>
      <c r="E28" s="368"/>
      <c r="F28" s="368"/>
      <c r="G28" s="368"/>
      <c r="H28" s="368"/>
      <c r="I28" s="368"/>
      <c r="J28" s="368"/>
      <c r="K28" s="312"/>
      <c r="L28" s="312"/>
      <c r="M28" s="312"/>
    </row>
    <row r="29" spans="3:10" ht="15">
      <c r="C29" s="373" t="s">
        <v>1</v>
      </c>
      <c r="D29" s="373"/>
      <c r="E29" s="373"/>
      <c r="F29" s="373"/>
      <c r="G29" s="373"/>
      <c r="H29" s="373"/>
      <c r="I29" s="373"/>
      <c r="J29" s="373"/>
    </row>
    <row r="30" spans="2:10" ht="30" customHeight="1">
      <c r="B30" s="24"/>
      <c r="C30" s="354" t="s">
        <v>8</v>
      </c>
      <c r="D30" s="354"/>
      <c r="E30" s="354" t="s">
        <v>9</v>
      </c>
      <c r="F30" s="354"/>
      <c r="G30" s="354" t="s">
        <v>10</v>
      </c>
      <c r="H30" s="354"/>
      <c r="I30" s="354" t="s">
        <v>11</v>
      </c>
      <c r="J30" s="354"/>
    </row>
    <row r="31" spans="2:10" ht="15">
      <c r="B31" s="25"/>
      <c r="C31" s="322">
        <f>C22</f>
        <v>151</v>
      </c>
      <c r="D31" s="330" t="s">
        <v>3</v>
      </c>
      <c r="E31" s="335">
        <f>10*12</f>
        <v>120</v>
      </c>
      <c r="F31" s="330" t="s">
        <v>3</v>
      </c>
      <c r="G31" s="335">
        <f>15*12</f>
        <v>180</v>
      </c>
      <c r="H31" s="323" t="s">
        <v>3</v>
      </c>
      <c r="I31" s="330">
        <f>20*12</f>
        <v>240</v>
      </c>
      <c r="J31" s="323" t="s">
        <v>3</v>
      </c>
    </row>
    <row r="32" spans="2:10" ht="15">
      <c r="B32" s="25"/>
      <c r="C32" s="324">
        <f>IF(C31="","",C31/12)</f>
        <v>12.583333333333334</v>
      </c>
      <c r="D32" s="331" t="s">
        <v>4</v>
      </c>
      <c r="E32" s="324">
        <f>E31/12</f>
        <v>10</v>
      </c>
      <c r="F32" s="331" t="s">
        <v>4</v>
      </c>
      <c r="G32" s="324">
        <f>G31/12</f>
        <v>15</v>
      </c>
      <c r="H32" s="325" t="s">
        <v>4</v>
      </c>
      <c r="I32" s="334">
        <f>I31/12</f>
        <v>20</v>
      </c>
      <c r="J32" s="325" t="s">
        <v>4</v>
      </c>
    </row>
    <row r="33" spans="2:10" ht="15">
      <c r="B33" s="290" t="s">
        <v>145</v>
      </c>
      <c r="C33" s="356">
        <f>_xlfn.IFERROR(IF(C32&lt;=10,9.39%,IF(C4&lt;=65%,9.69%,IF(C4&lt;=75%,9.99%,10.59%))),"")</f>
        <v>0.0969</v>
      </c>
      <c r="D33" s="374"/>
      <c r="E33" s="356">
        <f>_xlfn.IFERROR(IF(E32&lt;=10,9.39%,IF(C4&lt;=65%,9.69%,IF(C4&lt;=75%,9.99%,10.59%))),"")</f>
        <v>0.09390000000000001</v>
      </c>
      <c r="F33" s="374"/>
      <c r="G33" s="356">
        <f>_xlfn.IFERROR(IF(G32&lt;=10,9.39%,IF(C4&lt;=65%,9.69%,IF(C4&lt;=75%,9.99%,10.59%))),"")</f>
        <v>0.0969</v>
      </c>
      <c r="H33" s="357"/>
      <c r="I33" s="375">
        <f>_xlfn.IFERROR(IF(I32&lt;=10,9.39%,IF(C4&lt;=65%,9.69%,IF(C4&lt;=75%,9.99%,10.59%))),"")</f>
        <v>0.0969</v>
      </c>
      <c r="J33" s="357"/>
    </row>
    <row r="34" spans="2:10" ht="15.75" customHeight="1">
      <c r="B34" s="290" t="s">
        <v>147</v>
      </c>
      <c r="C34" s="359">
        <f>IF(C33="","",PMT(C33/12,C31,-C15,0,0)+250*1.16)</f>
        <v>14071.425190434544</v>
      </c>
      <c r="D34" s="360"/>
      <c r="E34" s="359">
        <f>IF(E33="","",PMT(E33/12,E31,-C15,0,0)+250*1.16)</f>
        <v>15745.527274208429</v>
      </c>
      <c r="F34" s="360"/>
      <c r="G34" s="359">
        <f>IF(G33="","",PMT(G33/12,G31,-C15,0,0)+250*1.16)</f>
        <v>12958.639735648603</v>
      </c>
      <c r="H34" s="361"/>
      <c r="I34" s="365">
        <f>IF(I33="","",PMT(I33/12,I31,-C15,0,0)+250*1.16)</f>
        <v>11624.880133979821</v>
      </c>
      <c r="J34" s="361"/>
    </row>
    <row r="35" spans="2:10" ht="15">
      <c r="B35" s="290" t="s">
        <v>140</v>
      </c>
      <c r="C35" s="362">
        <f>IF(C23="","",IF(($C$23-C34)&lt;0,"",$C$23-C34))</f>
        <v>2444.8668131096056</v>
      </c>
      <c r="D35" s="363"/>
      <c r="E35" s="362">
        <f>IF(C23="","",IF(($C$23-E34)&lt;0,"",$C$23-E34))</f>
        <v>770.7647293357204</v>
      </c>
      <c r="F35" s="363"/>
      <c r="G35" s="362">
        <f>IF(C23="","",IF(($C$23-G34)&lt;0,"",$C$23-G34))</f>
        <v>3557.652267895546</v>
      </c>
      <c r="H35" s="370"/>
      <c r="I35" s="371">
        <f>IF(C23="","",IF(($C$23-I34)&lt;0,"",$C$23-I34))</f>
        <v>4891.411869564328</v>
      </c>
      <c r="J35" s="370"/>
    </row>
    <row r="36" spans="2:10" ht="15">
      <c r="B36" s="290" t="s">
        <v>141</v>
      </c>
      <c r="C36" s="359">
        <f>IF(ISERROR(C35*C31),"",C35*C31)</f>
        <v>369174.88877955044</v>
      </c>
      <c r="D36" s="360"/>
      <c r="E36" s="359">
        <f>IF(ISERROR(E35*E42),"",E35*E42)</f>
        <v>92491.76752028645</v>
      </c>
      <c r="F36" s="360"/>
      <c r="G36" s="359">
        <f>IF(ISERROR(G35*G42),"",G35*G42)</f>
        <v>537205.4924522275</v>
      </c>
      <c r="H36" s="361"/>
      <c r="I36" s="365">
        <f>IF(ISERROR(I35*I42),"",I35*I42)</f>
        <v>738603.1923042135</v>
      </c>
      <c r="J36" s="361"/>
    </row>
    <row r="37" spans="2:10" ht="30">
      <c r="B37" s="290" t="s">
        <v>142</v>
      </c>
      <c r="C37" s="326">
        <f>IF(C22="","",IF(($C$22-C31)&lt;=0,"",$C$22-C31))</f>
      </c>
      <c r="D37" s="332">
        <f>IF(C37="","","meses")</f>
      </c>
      <c r="E37" s="326">
        <f>IF(C22="","",IF(($C$22-E31)&lt;=0,"",$C$22-E31))</f>
        <v>31</v>
      </c>
      <c r="F37" s="332" t="str">
        <f>IF(E37="","","meses")</f>
        <v>meses</v>
      </c>
      <c r="G37" s="326">
        <f>IF(C22="","",IF(($C$22-G31)&lt;=0,"",$C$22-G31))</f>
      </c>
      <c r="H37" s="327">
        <f>IF(G37="","","meses")</f>
      </c>
      <c r="I37" s="332">
        <f>IF(C22="","",IF(($C$22-I31)&lt;=0,"",$C$22-I31))</f>
      </c>
      <c r="J37" s="327">
        <f>IF(I37="","","meses")</f>
      </c>
    </row>
    <row r="38" spans="3:10" ht="18.75" customHeight="1">
      <c r="C38" s="328"/>
      <c r="D38" s="333"/>
      <c r="E38" s="328"/>
      <c r="F38" s="333"/>
      <c r="G38" s="328"/>
      <c r="H38" s="329"/>
      <c r="I38" s="333"/>
      <c r="J38" s="329"/>
    </row>
    <row r="39" spans="2:10" ht="15">
      <c r="B39" s="39" t="s">
        <v>139</v>
      </c>
      <c r="C39" s="40"/>
      <c r="D39" s="40"/>
      <c r="E39" s="40"/>
      <c r="F39" s="40"/>
      <c r="G39" s="40"/>
      <c r="H39" s="40"/>
      <c r="I39" s="40"/>
      <c r="J39" s="40"/>
    </row>
    <row r="40" spans="2:10" ht="15">
      <c r="B40" s="39" t="s">
        <v>146</v>
      </c>
      <c r="C40" s="40"/>
      <c r="D40" s="40"/>
      <c r="E40" s="40"/>
      <c r="F40" s="40"/>
      <c r="G40" s="40"/>
      <c r="H40" s="40"/>
      <c r="I40" s="40"/>
      <c r="J40" s="40"/>
    </row>
    <row r="41" spans="2:10" ht="15">
      <c r="B41" s="39"/>
      <c r="C41" s="40"/>
      <c r="D41" s="40"/>
      <c r="E41" s="40"/>
      <c r="F41" s="40"/>
      <c r="G41" s="40"/>
      <c r="H41" s="40"/>
      <c r="I41" s="40"/>
      <c r="J41" s="40"/>
    </row>
    <row r="42" spans="2:12" ht="15">
      <c r="B42" s="39"/>
      <c r="C42" s="311"/>
      <c r="D42" s="41"/>
      <c r="E42" s="42">
        <f>IF(E43&gt;0,E31,E31+E43)</f>
        <v>120</v>
      </c>
      <c r="F42" s="17"/>
      <c r="G42" s="42">
        <f>IF(G43&gt;0,G31,G31+G43)</f>
        <v>151</v>
      </c>
      <c r="H42" s="17"/>
      <c r="I42" s="42">
        <f>IF(I43&gt;0,I31,I31+I43)</f>
        <v>151</v>
      </c>
      <c r="J42" s="17"/>
      <c r="K42" s="17"/>
      <c r="L42" s="17"/>
    </row>
    <row r="43" spans="2:12" ht="15" customHeight="1">
      <c r="B43" s="28" t="s">
        <v>34</v>
      </c>
      <c r="C43" s="17"/>
      <c r="D43" s="17"/>
      <c r="E43" s="37">
        <f>$C$22-E31</f>
        <v>31</v>
      </c>
      <c r="F43" s="17"/>
      <c r="G43" s="37">
        <f>$C$22-G31</f>
        <v>-29</v>
      </c>
      <c r="H43" s="17"/>
      <c r="I43" s="37">
        <f>$C$22-I31</f>
        <v>-89</v>
      </c>
      <c r="J43" s="17"/>
      <c r="K43" s="17"/>
      <c r="L43" s="17"/>
    </row>
    <row r="44" spans="2:10" ht="15">
      <c r="B44" s="355" t="s">
        <v>12</v>
      </c>
      <c r="C44" s="355"/>
      <c r="D44" s="355"/>
      <c r="E44" s="355"/>
      <c r="F44" s="355"/>
      <c r="G44" s="355"/>
      <c r="H44" s="355"/>
      <c r="I44" s="355"/>
      <c r="J44" s="355"/>
    </row>
    <row r="45" ht="15"/>
    <row r="46" spans="2:13" ht="15" customHeight="1">
      <c r="B46" s="25" t="s">
        <v>13</v>
      </c>
      <c r="C46" s="29">
        <f>C15*4%</f>
        <v>48000</v>
      </c>
      <c r="D46" s="366" t="s">
        <v>169</v>
      </c>
      <c r="E46" s="366"/>
      <c r="F46" s="366"/>
      <c r="G46" s="366"/>
      <c r="H46" s="366"/>
      <c r="I46" s="366"/>
      <c r="J46" s="366"/>
      <c r="K46" s="366"/>
      <c r="L46" s="366"/>
      <c r="M46" s="366"/>
    </row>
    <row r="47" spans="2:13" ht="15">
      <c r="B47" s="25" t="s">
        <v>14</v>
      </c>
      <c r="C47" s="33">
        <f>0%*C15</f>
        <v>0</v>
      </c>
      <c r="D47" s="372" t="s">
        <v>17</v>
      </c>
      <c r="E47" s="372"/>
      <c r="F47" s="372"/>
      <c r="G47" s="372"/>
      <c r="H47" s="372"/>
      <c r="I47" s="372"/>
      <c r="J47" s="372"/>
      <c r="K47" s="30"/>
      <c r="L47" s="30"/>
      <c r="M47" s="30"/>
    </row>
    <row r="48" spans="2:13" ht="15">
      <c r="B48" s="25" t="s">
        <v>15</v>
      </c>
      <c r="C48" s="27">
        <f>IF(C15="","",0)</f>
        <v>0</v>
      </c>
      <c r="D48" s="372" t="s">
        <v>143</v>
      </c>
      <c r="E48" s="372"/>
      <c r="F48" s="372"/>
      <c r="G48" s="372"/>
      <c r="H48" s="372"/>
      <c r="I48" s="372"/>
      <c r="J48" s="372"/>
      <c r="K48" s="30"/>
      <c r="L48" s="30"/>
      <c r="M48" s="30"/>
    </row>
    <row r="49" spans="1:13" ht="15" customHeight="1">
      <c r="A49" s="32">
        <v>1</v>
      </c>
      <c r="B49" s="25" t="s">
        <v>63</v>
      </c>
      <c r="C49" s="31">
        <f ca="1">IF(C20="","",VLOOKUP($A$49,IF(TODAY()&gt;=change,rango2,rango1),2,0))</f>
        <v>5800</v>
      </c>
      <c r="D49" s="372" t="s">
        <v>170</v>
      </c>
      <c r="E49" s="372"/>
      <c r="F49" s="372"/>
      <c r="G49" s="372"/>
      <c r="H49" s="372"/>
      <c r="I49" s="372"/>
      <c r="J49" s="372"/>
      <c r="K49" s="30"/>
      <c r="L49" s="30"/>
      <c r="M49" s="30"/>
    </row>
    <row r="50" spans="2:10" ht="15">
      <c r="B50" s="25" t="s">
        <v>171</v>
      </c>
      <c r="C50" s="29">
        <f>SUM(C46:C49)</f>
        <v>53800</v>
      </c>
      <c r="D50" s="23"/>
      <c r="E50" s="23"/>
      <c r="F50" s="23"/>
      <c r="G50" s="23"/>
      <c r="H50" s="23"/>
      <c r="I50" s="23"/>
      <c r="J50" s="23"/>
    </row>
    <row r="51" spans="2:10" ht="15">
      <c r="B51" s="25"/>
      <c r="C51" s="29"/>
      <c r="D51" s="34"/>
      <c r="E51" s="34"/>
      <c r="F51" s="34"/>
      <c r="G51" s="34"/>
      <c r="H51" s="34"/>
      <c r="I51" s="34"/>
      <c r="J51" s="34"/>
    </row>
    <row r="52" spans="2:10" ht="15.75">
      <c r="B52" s="28" t="s">
        <v>148</v>
      </c>
      <c r="C52" s="28"/>
      <c r="D52" s="28"/>
      <c r="E52" s="28"/>
      <c r="F52" s="28"/>
      <c r="G52" s="28"/>
      <c r="H52" s="28"/>
      <c r="I52" s="28"/>
      <c r="J52" s="28"/>
    </row>
    <row r="53" spans="2:10" ht="15">
      <c r="B53" s="25"/>
      <c r="C53" s="354" t="s">
        <v>8</v>
      </c>
      <c r="D53" s="354"/>
      <c r="E53" s="354" t="s">
        <v>9</v>
      </c>
      <c r="F53" s="354"/>
      <c r="G53" s="354" t="s">
        <v>10</v>
      </c>
      <c r="H53" s="354"/>
      <c r="I53" s="354" t="s">
        <v>11</v>
      </c>
      <c r="J53" s="354"/>
    </row>
    <row r="54" spans="2:10" ht="15" customHeight="1">
      <c r="B54" s="34" t="s">
        <v>149</v>
      </c>
      <c r="C54" s="319">
        <f>IF(ISERROR($C$50/C35),"",($C$50/C35))</f>
        <v>22.005288677288817</v>
      </c>
      <c r="D54" s="321" t="s">
        <v>3</v>
      </c>
      <c r="E54" s="319">
        <f>IF(ISERROR($C$50/E35),"",($C$50/E35))</f>
        <v>69.80080685109613</v>
      </c>
      <c r="F54" s="321" t="s">
        <v>3</v>
      </c>
      <c r="G54" s="319">
        <f>IF(ISERROR($C$50/G35),"",($C$50/G35))</f>
        <v>15.122332355383413</v>
      </c>
      <c r="H54" s="320" t="s">
        <v>3</v>
      </c>
      <c r="I54" s="321">
        <f>IF(ISERROR($C$50/I35),"",($C$50/I35))</f>
        <v>10.998869331523272</v>
      </c>
      <c r="J54" s="320" t="s">
        <v>3</v>
      </c>
    </row>
    <row r="55" spans="2:10" ht="15" customHeight="1">
      <c r="B55" s="34"/>
      <c r="C55" s="36"/>
      <c r="D55" s="36"/>
      <c r="E55" s="36"/>
      <c r="F55" s="36"/>
      <c r="G55" s="36"/>
      <c r="H55" s="36"/>
      <c r="I55" s="36"/>
      <c r="J55" s="36"/>
    </row>
    <row r="56" spans="2:10" ht="15" customHeight="1">
      <c r="B56" s="34"/>
      <c r="C56" s="36"/>
      <c r="D56" s="36"/>
      <c r="E56" s="36"/>
      <c r="F56" s="36"/>
      <c r="G56" s="36"/>
      <c r="H56" s="36"/>
      <c r="I56" s="36"/>
      <c r="J56" s="36"/>
    </row>
    <row r="57" spans="2:10" ht="15">
      <c r="B57" s="25"/>
      <c r="D57" s="23"/>
      <c r="E57" s="23"/>
      <c r="F57" s="23"/>
      <c r="G57" s="23"/>
      <c r="H57" s="23"/>
      <c r="I57" s="23"/>
      <c r="J57" s="23"/>
    </row>
    <row r="58" spans="2:4" ht="15.75">
      <c r="B58" s="28" t="s">
        <v>40</v>
      </c>
      <c r="C58" s="26"/>
      <c r="D58" s="26"/>
    </row>
    <row r="59" spans="2:12" ht="15">
      <c r="B59" s="355" t="s">
        <v>150</v>
      </c>
      <c r="C59" s="355"/>
      <c r="D59" s="355"/>
      <c r="E59" s="355"/>
      <c r="F59" s="355"/>
      <c r="G59" s="355"/>
      <c r="H59" s="355"/>
      <c r="I59" s="355"/>
      <c r="J59" s="355"/>
      <c r="K59" s="355"/>
      <c r="L59" s="355"/>
    </row>
    <row r="60" spans="2:12" ht="15" customHeight="1">
      <c r="B60" s="355" t="s">
        <v>36</v>
      </c>
      <c r="C60" s="355"/>
      <c r="D60" s="355"/>
      <c r="E60" s="355"/>
      <c r="F60" s="355"/>
      <c r="G60" s="355"/>
      <c r="H60" s="355"/>
      <c r="I60" s="355"/>
      <c r="J60" s="355"/>
      <c r="K60" s="355"/>
      <c r="L60" s="355"/>
    </row>
    <row r="61" spans="2:12" ht="15">
      <c r="B61" s="355" t="s">
        <v>151</v>
      </c>
      <c r="C61" s="355"/>
      <c r="D61" s="355"/>
      <c r="E61" s="355"/>
      <c r="F61" s="355"/>
      <c r="G61" s="355"/>
      <c r="H61" s="355"/>
      <c r="I61" s="355"/>
      <c r="J61" s="355"/>
      <c r="K61" s="355"/>
      <c r="L61" s="355"/>
    </row>
    <row r="62" spans="2:12" ht="15" customHeight="1">
      <c r="B62" s="355" t="s">
        <v>144</v>
      </c>
      <c r="C62" s="355"/>
      <c r="D62" s="355"/>
      <c r="E62" s="355"/>
      <c r="F62" s="355"/>
      <c r="G62" s="355"/>
      <c r="H62" s="355"/>
      <c r="I62" s="355"/>
      <c r="J62" s="355"/>
      <c r="K62" s="355"/>
      <c r="L62" s="355"/>
    </row>
    <row r="63" spans="2:12" ht="15" customHeight="1">
      <c r="B63" s="355"/>
      <c r="C63" s="355"/>
      <c r="D63" s="355"/>
      <c r="E63" s="355"/>
      <c r="F63" s="355"/>
      <c r="G63" s="355"/>
      <c r="H63" s="355"/>
      <c r="I63" s="355"/>
      <c r="J63" s="355"/>
      <c r="K63" s="355"/>
      <c r="L63" s="355"/>
    </row>
    <row r="64" ht="15"/>
    <row r="65" ht="15.75">
      <c r="B65" s="28" t="s">
        <v>42</v>
      </c>
    </row>
    <row r="66" spans="2:12" ht="15" customHeight="1">
      <c r="B66" s="358" t="str">
        <f>'PAGHIP PAGO FIJO'!B43:K43</f>
        <v>La informacion aquí mostrada es para fines informativos y de comparación, exclusivamente, por lo que no constituye la asunción de obligación alguna por parte de HSBC o de las Aseguradoras que se indican.</v>
      </c>
      <c r="C66" s="358"/>
      <c r="D66" s="358"/>
      <c r="E66" s="358"/>
      <c r="F66" s="358"/>
      <c r="G66" s="358"/>
      <c r="H66" s="358"/>
      <c r="I66" s="358"/>
      <c r="J66" s="358"/>
      <c r="K66" s="358"/>
      <c r="L66" s="358"/>
    </row>
    <row r="67" spans="2:12" ht="15" customHeight="1">
      <c r="B67" s="355" t="s">
        <v>39</v>
      </c>
      <c r="C67" s="355"/>
      <c r="D67" s="355"/>
      <c r="E67" s="355"/>
      <c r="F67" s="355"/>
      <c r="G67" s="355"/>
      <c r="H67" s="355"/>
      <c r="I67" s="355"/>
      <c r="J67" s="355"/>
      <c r="K67" s="355"/>
      <c r="L67" s="355"/>
    </row>
    <row r="68" ht="15" customHeight="1">
      <c r="B68" s="45" t="s">
        <v>152</v>
      </c>
    </row>
    <row r="69" spans="2:12" ht="15" customHeight="1">
      <c r="B69" s="358" t="s">
        <v>153</v>
      </c>
      <c r="C69" s="358"/>
      <c r="D69" s="358"/>
      <c r="E69" s="358"/>
      <c r="F69" s="358"/>
      <c r="G69" s="358"/>
      <c r="H69" s="358"/>
      <c r="I69" s="358"/>
      <c r="J69" s="358"/>
      <c r="K69" s="358"/>
      <c r="L69" s="358"/>
    </row>
    <row r="70" spans="2:12" ht="15" customHeight="1" hidden="1">
      <c r="B70" s="28"/>
      <c r="C70" s="43"/>
      <c r="D70" s="43"/>
      <c r="E70" s="43"/>
      <c r="F70" s="43"/>
      <c r="G70" s="43"/>
      <c r="H70" s="43"/>
      <c r="I70" s="43"/>
      <c r="J70" s="43"/>
      <c r="K70" s="43"/>
      <c r="L70" s="43"/>
    </row>
    <row r="71" spans="2:13" ht="15" customHeight="1">
      <c r="B71" s="292" t="s">
        <v>154</v>
      </c>
      <c r="C71" s="291"/>
      <c r="D71" s="291"/>
      <c r="E71" s="291"/>
      <c r="F71" s="291"/>
      <c r="G71" s="291"/>
      <c r="H71" s="291"/>
      <c r="I71" s="291"/>
      <c r="J71" s="291"/>
      <c r="K71" s="291"/>
      <c r="L71" s="291"/>
      <c r="M71" s="291"/>
    </row>
    <row r="72" spans="2:13" ht="15" customHeight="1">
      <c r="B72" s="291"/>
      <c r="C72" s="291"/>
      <c r="D72" s="291"/>
      <c r="E72" s="291"/>
      <c r="F72" s="291"/>
      <c r="G72" s="291"/>
      <c r="H72" s="291"/>
      <c r="I72" s="291"/>
      <c r="J72" s="291"/>
      <c r="K72" s="291"/>
      <c r="L72" s="291"/>
      <c r="M72" s="291"/>
    </row>
    <row r="73" spans="2:13" ht="15" customHeight="1" hidden="1">
      <c r="B73" s="291"/>
      <c r="C73" s="291"/>
      <c r="D73" s="291"/>
      <c r="E73" s="291"/>
      <c r="F73" s="291"/>
      <c r="G73" s="291"/>
      <c r="H73" s="291"/>
      <c r="I73" s="291"/>
      <c r="J73" s="291"/>
      <c r="K73" s="291"/>
      <c r="L73" s="291"/>
      <c r="M73" s="291"/>
    </row>
    <row r="74" spans="2:13" ht="15" customHeight="1" hidden="1">
      <c r="B74" s="291"/>
      <c r="C74" s="291"/>
      <c r="D74" s="291"/>
      <c r="E74" s="291"/>
      <c r="F74" s="291"/>
      <c r="G74" s="291"/>
      <c r="H74" s="291"/>
      <c r="I74" s="291"/>
      <c r="J74" s="291"/>
      <c r="K74" s="291"/>
      <c r="L74" s="291"/>
      <c r="M74" s="291"/>
    </row>
    <row r="75" spans="3:13" ht="15" customHeight="1" hidden="1">
      <c r="C75" s="45"/>
      <c r="D75" s="45"/>
      <c r="E75" s="45"/>
      <c r="F75" s="45"/>
      <c r="G75" s="45"/>
      <c r="H75" s="45"/>
      <c r="I75" s="45"/>
      <c r="J75" s="45"/>
      <c r="K75" s="45"/>
      <c r="L75" s="45"/>
      <c r="M75" s="45"/>
    </row>
    <row r="76" spans="3:13" ht="15">
      <c r="C76" s="45"/>
      <c r="D76" s="45"/>
      <c r="E76" s="45"/>
      <c r="F76" s="45"/>
      <c r="G76" s="45"/>
      <c r="H76" s="45"/>
      <c r="I76" s="45"/>
      <c r="J76" s="45"/>
      <c r="K76" s="45"/>
      <c r="L76" s="45"/>
      <c r="M76" s="45"/>
    </row>
    <row r="77" ht="15" hidden="1"/>
    <row r="78" ht="15" hidden="1"/>
    <row r="79" ht="15" hidden="1"/>
    <row r="80" ht="15" hidden="1"/>
    <row r="81" ht="15" hidden="1"/>
    <row r="82" ht="15" hidden="1"/>
    <row r="83" ht="15" hidden="1"/>
    <row r="84" ht="15"/>
    <row r="85" ht="15"/>
    <row r="86" ht="15"/>
  </sheetData>
  <sheetProtection password="ED5F" sheet="1"/>
  <mergeCells count="41">
    <mergeCell ref="D47:J47"/>
    <mergeCell ref="D49:J49"/>
    <mergeCell ref="C29:J29"/>
    <mergeCell ref="D48:J48"/>
    <mergeCell ref="C36:D36"/>
    <mergeCell ref="I36:J36"/>
    <mergeCell ref="C33:D33"/>
    <mergeCell ref="E33:F33"/>
    <mergeCell ref="I33:J33"/>
    <mergeCell ref="K10:L10"/>
    <mergeCell ref="I34:J34"/>
    <mergeCell ref="D46:M46"/>
    <mergeCell ref="B44:J44"/>
    <mergeCell ref="D20:M20"/>
    <mergeCell ref="B28:J28"/>
    <mergeCell ref="D15:M15"/>
    <mergeCell ref="G35:H35"/>
    <mergeCell ref="I35:J35"/>
    <mergeCell ref="C30:D30"/>
    <mergeCell ref="E30:F30"/>
    <mergeCell ref="C34:D34"/>
    <mergeCell ref="E34:F34"/>
    <mergeCell ref="G34:H34"/>
    <mergeCell ref="C35:D35"/>
    <mergeCell ref="E35:F35"/>
    <mergeCell ref="B69:L69"/>
    <mergeCell ref="B66:L66"/>
    <mergeCell ref="B67:L67"/>
    <mergeCell ref="B62:L63"/>
    <mergeCell ref="B61:L61"/>
    <mergeCell ref="C53:D53"/>
    <mergeCell ref="E53:F53"/>
    <mergeCell ref="G53:H53"/>
    <mergeCell ref="I53:J53"/>
    <mergeCell ref="B60:L60"/>
    <mergeCell ref="B59:L59"/>
    <mergeCell ref="G30:H30"/>
    <mergeCell ref="I30:J30"/>
    <mergeCell ref="G33:H33"/>
    <mergeCell ref="E36:F36"/>
    <mergeCell ref="G36:H36"/>
  </mergeCells>
  <hyperlinks>
    <hyperlink ref="B68" r:id="rId1" display="http://www.hsbc.com.mx/"/>
  </hyperlinks>
  <printOptions verticalCentered="1"/>
  <pageMargins left="0.1968503937007874" right="0.1968503937007874" top="0.1968503937007874" bottom="0.1968503937007874" header="0.31496062992125984" footer="0.31496062992125984"/>
  <pageSetup fitToHeight="1" fitToWidth="1" horizontalDpi="600" verticalDpi="600" orientation="portrait" scale="48" r:id="rId3"/>
  <headerFooter>
    <oddFooter>&amp;LRESTRICTED</oddFooter>
    <evenFooter>&amp;LRESTRICTED</evenFooter>
    <firstFooter>&amp;LRESTRICTED</firstFooter>
  </headerFooter>
  <ignoredErrors>
    <ignoredError sqref="D15 C21:C22" unlockedFormula="1"/>
    <ignoredError sqref="D37 F37 H37 E37 I37 G37" formula="1"/>
    <ignoredError sqref="C4"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 VILLALOBOS</dc:creator>
  <cp:keywords>RESTRICTED</cp:keywords>
  <dc:description>RESTRICTED</dc:description>
  <cp:lastModifiedBy>gerardo.romero@noexternalmail.hsbc.com</cp:lastModifiedBy>
  <cp:lastPrinted>2017-05-29T23:11:51Z</cp:lastPrinted>
  <dcterms:created xsi:type="dcterms:W3CDTF">2015-02-10T23:46:45Z</dcterms:created>
  <dcterms:modified xsi:type="dcterms:W3CDTF">2017-05-29T23:17:32Z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